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1" r:id="rId1"/>
  </sheets>
  <definedNames>
    <definedName name="_xlnm._FilterDatabase" localSheetId="0" hidden="1">附件!$A$1:$G$314</definedName>
    <definedName name="_xlnm.Print_Area" localSheetId="0">附件!$A$3:$G$314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<sst xmlns="http://schemas.openxmlformats.org/spreadsheetml/2006/main" count="737" uniqueCount="115">
  <si>
    <t>附件：</t>
  </si>
  <si>
    <t>2019年海曙区事业单位公开招聘事业人员面试成绩、合成总成绩及体检对象</t>
  </si>
  <si>
    <t>报考单位</t>
  </si>
  <si>
    <t>报考职位</t>
  </si>
  <si>
    <t>准考证号</t>
  </si>
  <si>
    <t>笔试成绩</t>
  </si>
  <si>
    <t>面试成绩</t>
  </si>
  <si>
    <t>总成绩</t>
  </si>
  <si>
    <t>入围体检人员</t>
  </si>
  <si>
    <t>宁波市海曙81890求助服务中心</t>
  </si>
  <si>
    <t>综合管理</t>
  </si>
  <si>
    <t>√</t>
  </si>
  <si>
    <t>宁波市海曙区不动产登记服务中心</t>
  </si>
  <si>
    <t>政策法规</t>
  </si>
  <si>
    <t>宁波市海曙区财政预算编审服务中心</t>
  </si>
  <si>
    <t>法律事务</t>
  </si>
  <si>
    <t>预算编审</t>
  </si>
  <si>
    <t>宁波市海曙区残疾人康复和就业服务中心</t>
  </si>
  <si>
    <t>宁波市海曙区畜牧兽医技术管理服务站</t>
  </si>
  <si>
    <t>屠宰检疫</t>
  </si>
  <si>
    <t>宁波市海曙区大数据发展服务中心</t>
  </si>
  <si>
    <t>政务网络建设及应用推进（1）</t>
  </si>
  <si>
    <t>政务网络建设及应用推进（2）</t>
  </si>
  <si>
    <t>宁波市海曙区洞桥镇公共安全监督管理所</t>
  </si>
  <si>
    <t>宁波市海曙区洞桥镇公共事务服务中心</t>
  </si>
  <si>
    <t>城建管理</t>
  </si>
  <si>
    <t>会计审计</t>
  </si>
  <si>
    <t>宁波市海曙区房地产管理处</t>
  </si>
  <si>
    <t>物业管理（1）</t>
  </si>
  <si>
    <t>物业管理（2）</t>
  </si>
  <si>
    <t>物业管理（3）</t>
  </si>
  <si>
    <t>宁波市海曙区高桥镇公共事务服务中心</t>
  </si>
  <si>
    <t>农经管理</t>
  </si>
  <si>
    <t>统计</t>
  </si>
  <si>
    <t>宁波市海曙区工业经济发展研究中心</t>
  </si>
  <si>
    <t>经济管理</t>
  </si>
  <si>
    <t>宁波市海曙区公共项目建设管理中心</t>
  </si>
  <si>
    <t>房屋质量安全监督（1）</t>
  </si>
  <si>
    <t>房屋质量安全监督（2）</t>
  </si>
  <si>
    <t>工程管理</t>
  </si>
  <si>
    <t>综合文字</t>
  </si>
  <si>
    <t>宁波市海曙区鼓楼街道公共事务服务中心</t>
  </si>
  <si>
    <t>宁波市海曙区规划服务中心</t>
  </si>
  <si>
    <t>规划管理</t>
  </si>
  <si>
    <t>林业管理</t>
  </si>
  <si>
    <t>宁波市海曙区规划与地理信息中心</t>
  </si>
  <si>
    <t>地理信息开发管理</t>
  </si>
  <si>
    <t>地理信息数据管理</t>
  </si>
  <si>
    <t>建筑管理</t>
  </si>
  <si>
    <t>宁波市海曙区轨道交通建设推进管理中心</t>
  </si>
  <si>
    <t>征地拆迁</t>
  </si>
  <si>
    <t>政策处理</t>
  </si>
  <si>
    <t>宁波市海曙区国有资产管理中心</t>
  </si>
  <si>
    <t>国资管理</t>
  </si>
  <si>
    <t>宁波市海曙区行政审批服务中心</t>
  </si>
  <si>
    <t>审批管理</t>
  </si>
  <si>
    <t>宁波市海曙区横街镇公共事务服务中心</t>
  </si>
  <si>
    <t>城建规划</t>
  </si>
  <si>
    <t>综合文字(1)</t>
  </si>
  <si>
    <t>综合文字(2)</t>
  </si>
  <si>
    <t>宁波市海曙区集士港镇资源配置和审批服务中心</t>
  </si>
  <si>
    <t>宁波市海曙区江厦街道公共安全监督管理所</t>
  </si>
  <si>
    <t>宁波市海曙区交通运输综合服务中心</t>
  </si>
  <si>
    <t>交通工程（1）</t>
  </si>
  <si>
    <t>交通工程（2）</t>
  </si>
  <si>
    <t>交通行业综合管理（1）</t>
  </si>
  <si>
    <t>交通行业综合管理（2）</t>
  </si>
  <si>
    <t>网络管理</t>
  </si>
  <si>
    <t>宁波市海曙区金融服务中心</t>
  </si>
  <si>
    <t>金融服务</t>
  </si>
  <si>
    <t>宁波市海曙区经济研究中心</t>
  </si>
  <si>
    <t>财务管理</t>
  </si>
  <si>
    <t>宁波市海曙区老年大学</t>
  </si>
  <si>
    <t>宁波市海曙区南门街道公共事务服务中心</t>
  </si>
  <si>
    <t>宁波市海曙区农业技术管理服务站</t>
  </si>
  <si>
    <t>农技推广</t>
  </si>
  <si>
    <t>面试未达合格分数线</t>
  </si>
  <si>
    <t>宁波市海曙区人才服务中心</t>
  </si>
  <si>
    <t>宁波市海曙区人民法院审判保障服务中心</t>
  </si>
  <si>
    <t>计算机管理</t>
  </si>
  <si>
    <t>审判辅助人员</t>
  </si>
  <si>
    <t>审判辅助人员(1)</t>
  </si>
  <si>
    <t>审判辅助人员(2)</t>
  </si>
  <si>
    <t>宁波市海曙区人民政府房屋征收办公室</t>
  </si>
  <si>
    <t>宁波市海曙区商务信息中心</t>
  </si>
  <si>
    <t>宁波市海曙区石碶街道公共安全监督管理所</t>
  </si>
  <si>
    <t>宁波市海曙区石碶街道公共事务服务中心</t>
  </si>
  <si>
    <t>宁波市海曙区石碶市场区管理委员会</t>
  </si>
  <si>
    <t>宁波市海曙区体育指导中心</t>
  </si>
  <si>
    <t>宁波市海曙区土地储备中心</t>
  </si>
  <si>
    <t>土地开发整理</t>
  </si>
  <si>
    <t>宁波市海曙区退役军人服务中心</t>
  </si>
  <si>
    <t>宁波市海曙区望春街道公共事务服务中心</t>
  </si>
  <si>
    <t>宁波市海曙区文化馆</t>
  </si>
  <si>
    <t>广播策划编导</t>
  </si>
  <si>
    <t>宁波市海曙区文物管理所</t>
  </si>
  <si>
    <t>综合规划</t>
  </si>
  <si>
    <t>宁波市海曙区溪下水库管理中心</t>
  </si>
  <si>
    <t>水利工程</t>
  </si>
  <si>
    <t>闸门运行</t>
  </si>
  <si>
    <t>宁波市海曙区鄞江水利管理站</t>
  </si>
  <si>
    <t>机电维管</t>
  </si>
  <si>
    <t>宁波市海曙区鄞江镇公共事务服务中心</t>
  </si>
  <si>
    <t>宁波市海曙区应急救援服务中心</t>
  </si>
  <si>
    <t>宁波市海曙区月湖街道公共事务服务中心</t>
  </si>
  <si>
    <t>宁波市海曙区章水镇公共事务服务中心</t>
  </si>
  <si>
    <t>农林水利</t>
  </si>
  <si>
    <t>宁波市海曙区招商中心</t>
  </si>
  <si>
    <t>招商引资（1）</t>
  </si>
  <si>
    <t>招商引资（2）</t>
  </si>
  <si>
    <t>宁波市海曙区政府投资项目审计中心</t>
  </si>
  <si>
    <t>工程审计</t>
  </si>
  <si>
    <t>宁波市天一阁·月湖景区管理服务中心</t>
  </si>
  <si>
    <t>景区运营（1）</t>
  </si>
  <si>
    <t>景区运营（2）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</si>
</sst>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4"/>
  <sheetViews>
    <sheetView tabSelected="1" topLeftCell="A181" workbookViewId="0">
      <selection activeCell="J193" sqref="J193"/>
    </sheetView>
  </sheetViews>
  <sheetFormatPr defaultColWidth="9" defaultRowHeight="13.5" outlineLevelCol="7"/>
  <cols>
    <col min="1" max="1" width="27.2166666666667" style="1" customWidth="1"/>
    <col min="2" max="2" width="18.6666666666667" style="1" customWidth="1"/>
    <col min="3" max="3" width="16.3333333333333" style="2" customWidth="1"/>
    <col min="4" max="4" width="14.1083333333333" style="2" customWidth="1"/>
    <col min="5" max="5" width="13.5583333333333" style="2" customWidth="1"/>
    <col min="6" max="6" width="12.4416666666667" style="2" customWidth="1"/>
    <col min="7" max="7" width="8.88333333333333" style="3" customWidth="1"/>
    <col min="8" max="16384" width="9" style="2"/>
  </cols>
  <sheetData>
    <row r="1" spans="1:1">
      <c r="A1" s="1" t="s">
        <v>0</v>
      </c>
    </row>
    <row r="2" ht="57" customHeight="1" spans="1:7">
      <c r="A2" s="4" t="s">
        <v>1</v>
      </c>
      <c r="B2" s="4"/>
      <c r="C2" s="4"/>
      <c r="D2" s="4"/>
      <c r="E2" s="4"/>
      <c r="F2" s="4"/>
      <c r="G2" s="4"/>
    </row>
    <row r="3" ht="43.2" customHeight="1" spans="1:7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ht="40.05" customHeight="1" spans="1:7">
      <c r="A4" s="9" t="s">
        <v>9</v>
      </c>
      <c r="B4" s="10" t="s">
        <v>10</v>
      </c>
      <c r="C4" s="11" t="str">
        <f>"20190110506"</f>
        <v>20190110506</v>
      </c>
      <c r="D4" s="12">
        <v>74.5</v>
      </c>
      <c r="E4" s="12">
        <v>81.62</v>
      </c>
      <c r="F4" s="12">
        <f t="shared" ref="F4:F17" si="0">D4*0.4+E4*0.6</f>
        <v>78.772</v>
      </c>
      <c r="G4" s="13" t="s">
        <v>11</v>
      </c>
    </row>
    <row r="5" ht="40.05" customHeight="1" spans="1:7">
      <c r="A5" s="9" t="s">
        <v>9</v>
      </c>
      <c r="B5" s="10" t="s">
        <v>10</v>
      </c>
      <c r="C5" s="11" t="str">
        <f>"20190110502"</f>
        <v>20190110502</v>
      </c>
      <c r="D5" s="12">
        <v>68.5</v>
      </c>
      <c r="E5" s="12">
        <v>78.78</v>
      </c>
      <c r="F5" s="12">
        <f t="shared" si="0"/>
        <v>74.668</v>
      </c>
      <c r="G5" s="14"/>
    </row>
    <row r="6" ht="40.05" customHeight="1" spans="1:7">
      <c r="A6" s="9" t="s">
        <v>9</v>
      </c>
      <c r="B6" s="10" t="s">
        <v>10</v>
      </c>
      <c r="C6" s="11" t="str">
        <f>"20190110501"</f>
        <v>20190110501</v>
      </c>
      <c r="D6" s="12">
        <v>65</v>
      </c>
      <c r="E6" s="12">
        <v>77.94</v>
      </c>
      <c r="F6" s="12">
        <f t="shared" si="0"/>
        <v>72.764</v>
      </c>
      <c r="G6" s="14"/>
    </row>
    <row r="7" ht="40.05" customHeight="1" spans="1:7">
      <c r="A7" s="9" t="s">
        <v>12</v>
      </c>
      <c r="B7" s="10" t="s">
        <v>13</v>
      </c>
      <c r="C7" s="11" t="str">
        <f>"20190110513"</f>
        <v>20190110513</v>
      </c>
      <c r="D7" s="12">
        <v>73.5</v>
      </c>
      <c r="E7" s="12">
        <v>79.9</v>
      </c>
      <c r="F7" s="12">
        <f t="shared" si="0"/>
        <v>77.34</v>
      </c>
      <c r="G7" s="14" t="s">
        <v>11</v>
      </c>
    </row>
    <row r="8" ht="40.05" customHeight="1" spans="1:7">
      <c r="A8" s="9" t="s">
        <v>12</v>
      </c>
      <c r="B8" s="10" t="s">
        <v>13</v>
      </c>
      <c r="C8" s="11" t="str">
        <f>"20190110530"</f>
        <v>20190110530</v>
      </c>
      <c r="D8" s="12">
        <v>73</v>
      </c>
      <c r="E8" s="12">
        <v>77.24</v>
      </c>
      <c r="F8" s="12">
        <f t="shared" si="0"/>
        <v>75.544</v>
      </c>
      <c r="G8" s="14"/>
    </row>
    <row r="9" ht="40.05" customHeight="1" spans="1:7">
      <c r="A9" s="9" t="s">
        <v>12</v>
      </c>
      <c r="B9" s="10" t="s">
        <v>13</v>
      </c>
      <c r="C9" s="11" t="str">
        <f>"20190110510"</f>
        <v>20190110510</v>
      </c>
      <c r="D9" s="12">
        <v>72.5</v>
      </c>
      <c r="E9" s="12">
        <v>66.38</v>
      </c>
      <c r="F9" s="12">
        <f t="shared" si="0"/>
        <v>68.828</v>
      </c>
      <c r="G9" s="14"/>
    </row>
    <row r="10" ht="40.05" customHeight="1" spans="1:7">
      <c r="A10" s="15" t="s">
        <v>14</v>
      </c>
      <c r="B10" s="15" t="s">
        <v>15</v>
      </c>
      <c r="C10" s="16" t="str">
        <f>"20190100102"</f>
        <v>20190100102</v>
      </c>
      <c r="D10" s="12">
        <v>73</v>
      </c>
      <c r="E10" s="12">
        <v>81.4</v>
      </c>
      <c r="F10" s="12">
        <f t="shared" si="0"/>
        <v>78.04</v>
      </c>
      <c r="G10" s="14" t="s">
        <v>11</v>
      </c>
    </row>
    <row r="11" ht="40.05" customHeight="1" spans="1:7">
      <c r="A11" s="15" t="s">
        <v>14</v>
      </c>
      <c r="B11" s="15" t="s">
        <v>15</v>
      </c>
      <c r="C11" s="16" t="str">
        <f>"20190100106"</f>
        <v>20190100106</v>
      </c>
      <c r="D11" s="12">
        <v>74.5</v>
      </c>
      <c r="E11" s="12">
        <v>80.18</v>
      </c>
      <c r="F11" s="12">
        <f t="shared" si="0"/>
        <v>77.908</v>
      </c>
      <c r="G11" s="14"/>
    </row>
    <row r="12" ht="40.05" customHeight="1" spans="1:7">
      <c r="A12" s="15" t="s">
        <v>14</v>
      </c>
      <c r="B12" s="15" t="s">
        <v>15</v>
      </c>
      <c r="C12" s="16" t="str">
        <f>"20190100101"</f>
        <v>20190100101</v>
      </c>
      <c r="D12" s="12">
        <v>71.5</v>
      </c>
      <c r="E12" s="12">
        <v>78.9</v>
      </c>
      <c r="F12" s="12">
        <f t="shared" si="0"/>
        <v>75.94</v>
      </c>
      <c r="G12" s="14"/>
    </row>
    <row r="13" ht="40.05" customHeight="1" spans="1:7">
      <c r="A13" s="15" t="s">
        <v>14</v>
      </c>
      <c r="B13" s="15" t="s">
        <v>16</v>
      </c>
      <c r="C13" s="16" t="str">
        <f>"20190100120"</f>
        <v>20190100120</v>
      </c>
      <c r="D13" s="12">
        <v>73.5</v>
      </c>
      <c r="E13" s="12">
        <v>83.26</v>
      </c>
      <c r="F13" s="12">
        <f t="shared" si="0"/>
        <v>79.356</v>
      </c>
      <c r="G13" s="14" t="s">
        <v>11</v>
      </c>
    </row>
    <row r="14" ht="40.05" customHeight="1" spans="1:7">
      <c r="A14" s="15" t="s">
        <v>14</v>
      </c>
      <c r="B14" s="15" t="s">
        <v>16</v>
      </c>
      <c r="C14" s="16" t="str">
        <f>"20190100118"</f>
        <v>20190100118</v>
      </c>
      <c r="D14" s="12">
        <v>74.5</v>
      </c>
      <c r="E14" s="12">
        <v>80</v>
      </c>
      <c r="F14" s="12">
        <f t="shared" si="0"/>
        <v>77.8</v>
      </c>
      <c r="G14" s="14"/>
    </row>
    <row r="15" ht="40.05" customHeight="1" spans="1:7">
      <c r="A15" s="15" t="s">
        <v>17</v>
      </c>
      <c r="B15" s="15" t="s">
        <v>10</v>
      </c>
      <c r="C15" s="16" t="str">
        <f>"20190100128"</f>
        <v>20190100128</v>
      </c>
      <c r="D15" s="12">
        <v>78.5</v>
      </c>
      <c r="E15" s="12">
        <v>77.78</v>
      </c>
      <c r="F15" s="12">
        <f t="shared" si="0"/>
        <v>78.068</v>
      </c>
      <c r="G15" s="14" t="s">
        <v>11</v>
      </c>
    </row>
    <row r="16" ht="40.05" customHeight="1" spans="1:7">
      <c r="A16" s="15" t="s">
        <v>17</v>
      </c>
      <c r="B16" s="15" t="s">
        <v>10</v>
      </c>
      <c r="C16" s="16" t="str">
        <f>"20190100521"</f>
        <v>20190100521</v>
      </c>
      <c r="D16" s="12">
        <v>79.5</v>
      </c>
      <c r="E16" s="12">
        <v>75.76</v>
      </c>
      <c r="F16" s="12">
        <f t="shared" si="0"/>
        <v>77.256</v>
      </c>
      <c r="G16" s="14"/>
    </row>
    <row r="17" ht="40.05" customHeight="1" spans="1:7">
      <c r="A17" s="15" t="s">
        <v>17</v>
      </c>
      <c r="B17" s="15" t="s">
        <v>10</v>
      </c>
      <c r="C17" s="16" t="str">
        <f>"20190100605"</f>
        <v>20190100605</v>
      </c>
      <c r="D17" s="12">
        <v>76</v>
      </c>
      <c r="E17" s="12">
        <v>73.2</v>
      </c>
      <c r="F17" s="12">
        <f t="shared" si="0"/>
        <v>74.32</v>
      </c>
      <c r="G17" s="14"/>
    </row>
    <row r="18" ht="40.05" customHeight="1" spans="1:7">
      <c r="A18" s="9" t="s">
        <v>18</v>
      </c>
      <c r="B18" s="10" t="s">
        <v>19</v>
      </c>
      <c r="C18" s="11" t="str">
        <f>"20190119007"</f>
        <v>20190119007</v>
      </c>
      <c r="D18" s="12">
        <v>66.5</v>
      </c>
      <c r="E18" s="12">
        <v>85.46</v>
      </c>
      <c r="F18" s="12">
        <f t="shared" ref="F18:F28" si="1">D18*0.4+E18*0.6</f>
        <v>77.876</v>
      </c>
      <c r="G18" s="14" t="s">
        <v>11</v>
      </c>
    </row>
    <row r="19" ht="40.05" customHeight="1" spans="1:7">
      <c r="A19" s="9" t="s">
        <v>18</v>
      </c>
      <c r="B19" s="10" t="s">
        <v>19</v>
      </c>
      <c r="C19" s="11" t="str">
        <f>"20190119006"</f>
        <v>20190119006</v>
      </c>
      <c r="D19" s="12">
        <v>72</v>
      </c>
      <c r="E19" s="12">
        <v>81.7</v>
      </c>
      <c r="F19" s="12">
        <f t="shared" si="1"/>
        <v>77.82</v>
      </c>
      <c r="G19" s="14"/>
    </row>
    <row r="20" ht="40.05" customHeight="1" spans="1:7">
      <c r="A20" s="9" t="s">
        <v>18</v>
      </c>
      <c r="B20" s="10" t="s">
        <v>19</v>
      </c>
      <c r="C20" s="11" t="str">
        <f>"20190119015"</f>
        <v>20190119015</v>
      </c>
      <c r="D20" s="12">
        <v>67</v>
      </c>
      <c r="E20" s="12">
        <v>81.32</v>
      </c>
      <c r="F20" s="12">
        <f t="shared" si="1"/>
        <v>75.592</v>
      </c>
      <c r="G20" s="14"/>
    </row>
    <row r="21" ht="40.05" customHeight="1" spans="1:7">
      <c r="A21" s="15" t="s">
        <v>20</v>
      </c>
      <c r="B21" s="15" t="s">
        <v>21</v>
      </c>
      <c r="C21" s="16" t="str">
        <f>"20190101614"</f>
        <v>20190101614</v>
      </c>
      <c r="D21" s="12">
        <v>77</v>
      </c>
      <c r="E21" s="12">
        <v>83.14</v>
      </c>
      <c r="F21" s="12">
        <f t="shared" si="1"/>
        <v>80.684</v>
      </c>
      <c r="G21" s="14" t="s">
        <v>11</v>
      </c>
    </row>
    <row r="22" ht="40.05" customHeight="1" spans="1:7">
      <c r="A22" s="15" t="s">
        <v>20</v>
      </c>
      <c r="B22" s="15" t="s">
        <v>21</v>
      </c>
      <c r="C22" s="16" t="str">
        <f>"20190100629"</f>
        <v>20190100629</v>
      </c>
      <c r="D22" s="12">
        <v>75</v>
      </c>
      <c r="E22" s="12">
        <v>81.76</v>
      </c>
      <c r="F22" s="12">
        <f t="shared" si="1"/>
        <v>79.056</v>
      </c>
      <c r="G22" s="14"/>
    </row>
    <row r="23" ht="40.05" customHeight="1" spans="1:7">
      <c r="A23" s="15" t="s">
        <v>20</v>
      </c>
      <c r="B23" s="15" t="s">
        <v>21</v>
      </c>
      <c r="C23" s="16" t="str">
        <f>"20190101129"</f>
        <v>20190101129</v>
      </c>
      <c r="D23" s="12">
        <v>76</v>
      </c>
      <c r="E23" s="12">
        <v>80.06</v>
      </c>
      <c r="F23" s="12">
        <f t="shared" si="1"/>
        <v>78.436</v>
      </c>
      <c r="G23" s="14"/>
    </row>
    <row r="24" ht="40.05" customHeight="1" spans="1:7">
      <c r="A24" s="15" t="s">
        <v>20</v>
      </c>
      <c r="B24" s="15" t="s">
        <v>22</v>
      </c>
      <c r="C24" s="16" t="str">
        <f>"20190101705"</f>
        <v>20190101705</v>
      </c>
      <c r="D24" s="12">
        <v>72</v>
      </c>
      <c r="E24" s="12">
        <v>82.28</v>
      </c>
      <c r="F24" s="12">
        <f t="shared" si="1"/>
        <v>78.168</v>
      </c>
      <c r="G24" s="14" t="s">
        <v>11</v>
      </c>
    </row>
    <row r="25" ht="40.05" customHeight="1" spans="1:7">
      <c r="A25" s="15" t="s">
        <v>20</v>
      </c>
      <c r="B25" s="15" t="s">
        <v>22</v>
      </c>
      <c r="C25" s="16" t="str">
        <f>"20190102003"</f>
        <v>20190102003</v>
      </c>
      <c r="D25" s="12">
        <v>72</v>
      </c>
      <c r="E25" s="12">
        <v>79.66</v>
      </c>
      <c r="F25" s="12">
        <f t="shared" si="1"/>
        <v>76.596</v>
      </c>
      <c r="G25" s="14"/>
    </row>
    <row r="26" ht="40.05" customHeight="1" spans="1:7">
      <c r="A26" s="15" t="s">
        <v>20</v>
      </c>
      <c r="B26" s="15" t="s">
        <v>22</v>
      </c>
      <c r="C26" s="16" t="str">
        <f>"20190101625"</f>
        <v>20190101625</v>
      </c>
      <c r="D26" s="12">
        <v>72</v>
      </c>
      <c r="E26" s="12">
        <v>79.38</v>
      </c>
      <c r="F26" s="12">
        <f t="shared" si="1"/>
        <v>76.428</v>
      </c>
      <c r="G26" s="14"/>
    </row>
    <row r="27" ht="40.05" customHeight="1" spans="1:7">
      <c r="A27" s="9" t="s">
        <v>23</v>
      </c>
      <c r="B27" s="10" t="s">
        <v>15</v>
      </c>
      <c r="C27" s="11" t="str">
        <f>"20190110720"</f>
        <v>20190110720</v>
      </c>
      <c r="D27" s="12">
        <v>72.5</v>
      </c>
      <c r="E27" s="12">
        <v>80.76</v>
      </c>
      <c r="F27" s="12">
        <f t="shared" si="1"/>
        <v>77.456</v>
      </c>
      <c r="G27" s="14" t="s">
        <v>11</v>
      </c>
    </row>
    <row r="28" ht="40.05" customHeight="1" spans="1:7">
      <c r="A28" s="9" t="s">
        <v>23</v>
      </c>
      <c r="B28" s="10" t="s">
        <v>15</v>
      </c>
      <c r="C28" s="11" t="str">
        <f>"20190110728"</f>
        <v>20190110728</v>
      </c>
      <c r="D28" s="12">
        <v>71.5</v>
      </c>
      <c r="E28" s="12">
        <v>78.42</v>
      </c>
      <c r="F28" s="12">
        <f t="shared" si="1"/>
        <v>75.652</v>
      </c>
      <c r="G28" s="14"/>
    </row>
    <row r="29" ht="40.05" customHeight="1" spans="1:7">
      <c r="A29" s="9" t="s">
        <v>24</v>
      </c>
      <c r="B29" s="10" t="s">
        <v>25</v>
      </c>
      <c r="C29" s="11" t="str">
        <f>"20190110817"</f>
        <v>20190110817</v>
      </c>
      <c r="D29" s="12">
        <v>69.5</v>
      </c>
      <c r="E29" s="12">
        <v>82</v>
      </c>
      <c r="F29" s="12">
        <f t="shared" ref="F29:F92" si="2">D29*0.4+E29*0.6</f>
        <v>77</v>
      </c>
      <c r="G29" s="14" t="s">
        <v>11</v>
      </c>
    </row>
    <row r="30" ht="40.05" customHeight="1" spans="1:7">
      <c r="A30" s="9" t="s">
        <v>24</v>
      </c>
      <c r="B30" s="10" t="s">
        <v>25</v>
      </c>
      <c r="C30" s="11" t="str">
        <f>"20190110822"</f>
        <v>20190110822</v>
      </c>
      <c r="D30" s="12">
        <v>72</v>
      </c>
      <c r="E30" s="12">
        <v>78.7</v>
      </c>
      <c r="F30" s="12">
        <f t="shared" si="2"/>
        <v>76.02</v>
      </c>
      <c r="G30" s="14"/>
    </row>
    <row r="31" ht="40.05" customHeight="1" spans="1:7">
      <c r="A31" s="9" t="s">
        <v>24</v>
      </c>
      <c r="B31" s="10" t="s">
        <v>25</v>
      </c>
      <c r="C31" s="11" t="str">
        <f>"20190110810"</f>
        <v>20190110810</v>
      </c>
      <c r="D31" s="12">
        <v>71.5</v>
      </c>
      <c r="E31" s="12">
        <v>75.46</v>
      </c>
      <c r="F31" s="12">
        <f t="shared" si="2"/>
        <v>73.876</v>
      </c>
      <c r="G31" s="14"/>
    </row>
    <row r="32" ht="40.05" customHeight="1" spans="1:7">
      <c r="A32" s="9" t="s">
        <v>24</v>
      </c>
      <c r="B32" s="10" t="s">
        <v>15</v>
      </c>
      <c r="C32" s="11" t="str">
        <f>"20190110923"</f>
        <v>20190110923</v>
      </c>
      <c r="D32" s="12">
        <v>69.5</v>
      </c>
      <c r="E32" s="12">
        <v>79.6</v>
      </c>
      <c r="F32" s="12">
        <f t="shared" si="2"/>
        <v>75.56</v>
      </c>
      <c r="G32" s="14" t="s">
        <v>11</v>
      </c>
    </row>
    <row r="33" ht="40.05" customHeight="1" spans="1:7">
      <c r="A33" s="9" t="s">
        <v>24</v>
      </c>
      <c r="B33" s="10" t="s">
        <v>15</v>
      </c>
      <c r="C33" s="11" t="str">
        <f>"20190110919"</f>
        <v>20190110919</v>
      </c>
      <c r="D33" s="12">
        <v>72</v>
      </c>
      <c r="E33" s="12">
        <v>77.22</v>
      </c>
      <c r="F33" s="12">
        <f t="shared" si="2"/>
        <v>75.132</v>
      </c>
      <c r="G33" s="14"/>
    </row>
    <row r="34" ht="40.05" customHeight="1" spans="1:7">
      <c r="A34" s="9" t="s">
        <v>24</v>
      </c>
      <c r="B34" s="10" t="s">
        <v>15</v>
      </c>
      <c r="C34" s="11" t="str">
        <f>"20190110921"</f>
        <v>20190110921</v>
      </c>
      <c r="D34" s="12">
        <v>69</v>
      </c>
      <c r="E34" s="12">
        <v>73.68</v>
      </c>
      <c r="F34" s="12">
        <f t="shared" si="2"/>
        <v>71.808</v>
      </c>
      <c r="G34" s="14"/>
    </row>
    <row r="35" ht="40.05" customHeight="1" spans="1:7">
      <c r="A35" s="9" t="s">
        <v>24</v>
      </c>
      <c r="B35" s="10" t="s">
        <v>26</v>
      </c>
      <c r="C35" s="11" t="str">
        <f>"20190111025"</f>
        <v>20190111025</v>
      </c>
      <c r="D35" s="12">
        <v>72</v>
      </c>
      <c r="E35" s="12">
        <v>79.04</v>
      </c>
      <c r="F35" s="12">
        <f t="shared" si="2"/>
        <v>76.224</v>
      </c>
      <c r="G35" s="14" t="s">
        <v>11</v>
      </c>
    </row>
    <row r="36" ht="40.05" customHeight="1" spans="1:7">
      <c r="A36" s="9" t="s">
        <v>24</v>
      </c>
      <c r="B36" s="10" t="s">
        <v>26</v>
      </c>
      <c r="C36" s="11" t="str">
        <f>"20190111017"</f>
        <v>20190111017</v>
      </c>
      <c r="D36" s="12">
        <v>68.5</v>
      </c>
      <c r="E36" s="12">
        <v>80.54</v>
      </c>
      <c r="F36" s="12">
        <f t="shared" si="2"/>
        <v>75.724</v>
      </c>
      <c r="G36" s="14"/>
    </row>
    <row r="37" ht="40.05" customHeight="1" spans="1:7">
      <c r="A37" s="9" t="s">
        <v>24</v>
      </c>
      <c r="B37" s="10" t="s">
        <v>26</v>
      </c>
      <c r="C37" s="11" t="str">
        <f>"20190111027"</f>
        <v>20190111027</v>
      </c>
      <c r="D37" s="12">
        <v>68.5</v>
      </c>
      <c r="E37" s="12">
        <v>77.12</v>
      </c>
      <c r="F37" s="12">
        <f t="shared" si="2"/>
        <v>73.672</v>
      </c>
      <c r="G37" s="14"/>
    </row>
    <row r="38" ht="40.05" customHeight="1" spans="1:7">
      <c r="A38" s="15" t="s">
        <v>27</v>
      </c>
      <c r="B38" s="15" t="s">
        <v>28</v>
      </c>
      <c r="C38" s="16" t="str">
        <f>"20190102123"</f>
        <v>20190102123</v>
      </c>
      <c r="D38" s="12">
        <v>70.5</v>
      </c>
      <c r="E38" s="12">
        <v>82.06</v>
      </c>
      <c r="F38" s="12">
        <f t="shared" si="2"/>
        <v>77.436</v>
      </c>
      <c r="G38" s="14" t="s">
        <v>11</v>
      </c>
    </row>
    <row r="39" ht="40.05" customHeight="1" spans="1:7">
      <c r="A39" s="15" t="s">
        <v>27</v>
      </c>
      <c r="B39" s="15" t="s">
        <v>28</v>
      </c>
      <c r="C39" s="16" t="str">
        <f>"20190102120"</f>
        <v>20190102120</v>
      </c>
      <c r="D39" s="12">
        <v>70.5</v>
      </c>
      <c r="E39" s="12">
        <v>78.1</v>
      </c>
      <c r="F39" s="12">
        <f t="shared" si="2"/>
        <v>75.06</v>
      </c>
      <c r="G39" s="14"/>
    </row>
    <row r="40" ht="40.05" customHeight="1" spans="1:7">
      <c r="A40" s="15" t="s">
        <v>27</v>
      </c>
      <c r="B40" s="15" t="s">
        <v>28</v>
      </c>
      <c r="C40" s="16" t="str">
        <f>"20190102121"</f>
        <v>20190102121</v>
      </c>
      <c r="D40" s="12">
        <v>67</v>
      </c>
      <c r="E40" s="12">
        <v>79.82</v>
      </c>
      <c r="F40" s="12">
        <f t="shared" si="2"/>
        <v>74.692</v>
      </c>
      <c r="G40" s="14"/>
    </row>
    <row r="41" ht="40.05" customHeight="1" spans="1:7">
      <c r="A41" s="15" t="s">
        <v>27</v>
      </c>
      <c r="B41" s="15" t="s">
        <v>29</v>
      </c>
      <c r="C41" s="16" t="str">
        <f>"20190102305"</f>
        <v>20190102305</v>
      </c>
      <c r="D41" s="12">
        <v>76.5</v>
      </c>
      <c r="E41" s="12">
        <v>80.68</v>
      </c>
      <c r="F41" s="12">
        <f t="shared" si="2"/>
        <v>79.008</v>
      </c>
      <c r="G41" s="14" t="s">
        <v>11</v>
      </c>
    </row>
    <row r="42" ht="40.05" customHeight="1" spans="1:7">
      <c r="A42" s="15" t="s">
        <v>27</v>
      </c>
      <c r="B42" s="15" t="s">
        <v>29</v>
      </c>
      <c r="C42" s="16" t="str">
        <f>"20190102204"</f>
        <v>20190102204</v>
      </c>
      <c r="D42" s="12">
        <v>72.5</v>
      </c>
      <c r="E42" s="12">
        <v>82.22</v>
      </c>
      <c r="F42" s="12">
        <f t="shared" si="2"/>
        <v>78.332</v>
      </c>
      <c r="G42" s="14"/>
    </row>
    <row r="43" ht="40.05" customHeight="1" spans="1:7">
      <c r="A43" s="15" t="s">
        <v>27</v>
      </c>
      <c r="B43" s="15" t="s">
        <v>29</v>
      </c>
      <c r="C43" s="16" t="str">
        <f>"20190102203"</f>
        <v>20190102203</v>
      </c>
      <c r="D43" s="12">
        <v>71</v>
      </c>
      <c r="E43" s="12">
        <v>79.56</v>
      </c>
      <c r="F43" s="12">
        <f t="shared" si="2"/>
        <v>76.136</v>
      </c>
      <c r="G43" s="14"/>
    </row>
    <row r="44" ht="40.05" customHeight="1" spans="1:7">
      <c r="A44" s="15" t="s">
        <v>27</v>
      </c>
      <c r="B44" s="15" t="s">
        <v>30</v>
      </c>
      <c r="C44" s="16" t="str">
        <f>"20190102405"</f>
        <v>20190102405</v>
      </c>
      <c r="D44" s="12">
        <v>75</v>
      </c>
      <c r="E44" s="12">
        <v>79.62</v>
      </c>
      <c r="F44" s="12">
        <f t="shared" si="2"/>
        <v>77.772</v>
      </c>
      <c r="G44" s="14" t="s">
        <v>11</v>
      </c>
    </row>
    <row r="45" ht="40.05" customHeight="1" spans="1:7">
      <c r="A45" s="15" t="s">
        <v>27</v>
      </c>
      <c r="B45" s="15" t="s">
        <v>30</v>
      </c>
      <c r="C45" s="16" t="str">
        <f>"20190102406"</f>
        <v>20190102406</v>
      </c>
      <c r="D45" s="12">
        <v>73.5</v>
      </c>
      <c r="E45" s="12">
        <v>77.96</v>
      </c>
      <c r="F45" s="12">
        <f t="shared" si="2"/>
        <v>76.176</v>
      </c>
      <c r="G45" s="14"/>
    </row>
    <row r="46" ht="40.05" customHeight="1" spans="1:7">
      <c r="A46" s="15" t="s">
        <v>27</v>
      </c>
      <c r="B46" s="15" t="s">
        <v>30</v>
      </c>
      <c r="C46" s="16" t="str">
        <f>"20190102411"</f>
        <v>20190102411</v>
      </c>
      <c r="D46" s="12">
        <v>73.5</v>
      </c>
      <c r="E46" s="12">
        <v>76.38</v>
      </c>
      <c r="F46" s="12">
        <f t="shared" si="2"/>
        <v>75.228</v>
      </c>
      <c r="G46" s="14"/>
    </row>
    <row r="47" ht="40.05" customHeight="1" spans="1:7">
      <c r="A47" s="9" t="s">
        <v>31</v>
      </c>
      <c r="B47" s="10" t="s">
        <v>32</v>
      </c>
      <c r="C47" s="11" t="str">
        <f>"20190111229"</f>
        <v>20190111229</v>
      </c>
      <c r="D47" s="12">
        <v>66</v>
      </c>
      <c r="E47" s="12">
        <v>81.22</v>
      </c>
      <c r="F47" s="12">
        <f t="shared" si="2"/>
        <v>75.132</v>
      </c>
      <c r="G47" s="14" t="s">
        <v>11</v>
      </c>
    </row>
    <row r="48" ht="40.05" customHeight="1" spans="1:7">
      <c r="A48" s="9" t="s">
        <v>31</v>
      </c>
      <c r="B48" s="10" t="s">
        <v>32</v>
      </c>
      <c r="C48" s="11" t="str">
        <f>"20190111310"</f>
        <v>20190111310</v>
      </c>
      <c r="D48" s="12">
        <v>65</v>
      </c>
      <c r="E48" s="12">
        <v>78.26</v>
      </c>
      <c r="F48" s="12">
        <f t="shared" si="2"/>
        <v>72.956</v>
      </c>
      <c r="G48" s="14"/>
    </row>
    <row r="49" ht="40.05" customHeight="1" spans="1:7">
      <c r="A49" s="9" t="s">
        <v>31</v>
      </c>
      <c r="B49" s="10" t="s">
        <v>32</v>
      </c>
      <c r="C49" s="11" t="str">
        <f>"20190111308"</f>
        <v>20190111308</v>
      </c>
      <c r="D49" s="12">
        <v>65.5</v>
      </c>
      <c r="E49" s="12">
        <v>76.7</v>
      </c>
      <c r="F49" s="12">
        <f t="shared" si="2"/>
        <v>72.22</v>
      </c>
      <c r="G49" s="14"/>
    </row>
    <row r="50" ht="40.05" customHeight="1" spans="1:7">
      <c r="A50" s="9" t="s">
        <v>31</v>
      </c>
      <c r="B50" s="10" t="s">
        <v>33</v>
      </c>
      <c r="C50" s="11" t="str">
        <f>"20190111314"</f>
        <v>20190111314</v>
      </c>
      <c r="D50" s="12">
        <v>70.5</v>
      </c>
      <c r="E50" s="12">
        <v>78.38</v>
      </c>
      <c r="F50" s="12">
        <f t="shared" si="2"/>
        <v>75.228</v>
      </c>
      <c r="G50" s="14" t="s">
        <v>11</v>
      </c>
    </row>
    <row r="51" ht="40.05" customHeight="1" spans="1:7">
      <c r="A51" s="9" t="s">
        <v>31</v>
      </c>
      <c r="B51" s="10" t="s">
        <v>33</v>
      </c>
      <c r="C51" s="11" t="str">
        <f>"20190111329"</f>
        <v>20190111329</v>
      </c>
      <c r="D51" s="12">
        <v>66</v>
      </c>
      <c r="E51" s="12">
        <v>80.7</v>
      </c>
      <c r="F51" s="12">
        <f t="shared" si="2"/>
        <v>74.82</v>
      </c>
      <c r="G51" s="14"/>
    </row>
    <row r="52" ht="40.05" customHeight="1" spans="1:7">
      <c r="A52" s="9" t="s">
        <v>31</v>
      </c>
      <c r="B52" s="10" t="s">
        <v>33</v>
      </c>
      <c r="C52" s="11" t="str">
        <f>"20190111315"</f>
        <v>20190111315</v>
      </c>
      <c r="D52" s="12">
        <v>66</v>
      </c>
      <c r="E52" s="12">
        <v>78.12</v>
      </c>
      <c r="F52" s="12">
        <f t="shared" si="2"/>
        <v>73.272</v>
      </c>
      <c r="G52" s="14"/>
    </row>
    <row r="53" ht="40.05" customHeight="1" spans="1:7">
      <c r="A53" s="9" t="s">
        <v>34</v>
      </c>
      <c r="B53" s="10" t="s">
        <v>35</v>
      </c>
      <c r="C53" s="11" t="str">
        <f>"20190111602"</f>
        <v>20190111602</v>
      </c>
      <c r="D53" s="12">
        <v>73</v>
      </c>
      <c r="E53" s="12">
        <v>80.32</v>
      </c>
      <c r="F53" s="12">
        <f t="shared" si="2"/>
        <v>77.392</v>
      </c>
      <c r="G53" s="14" t="s">
        <v>11</v>
      </c>
    </row>
    <row r="54" ht="40.05" customHeight="1" spans="1:7">
      <c r="A54" s="9" t="s">
        <v>34</v>
      </c>
      <c r="B54" s="10" t="s">
        <v>35</v>
      </c>
      <c r="C54" s="11" t="str">
        <f>"20190111516"</f>
        <v>20190111516</v>
      </c>
      <c r="D54" s="12">
        <v>70</v>
      </c>
      <c r="E54" s="12">
        <v>82.22</v>
      </c>
      <c r="F54" s="12">
        <f t="shared" si="2"/>
        <v>77.332</v>
      </c>
      <c r="G54" s="14" t="s">
        <v>11</v>
      </c>
    </row>
    <row r="55" ht="40.05" customHeight="1" spans="1:7">
      <c r="A55" s="9" t="s">
        <v>34</v>
      </c>
      <c r="B55" s="10" t="s">
        <v>35</v>
      </c>
      <c r="C55" s="11" t="str">
        <f>"20190111416"</f>
        <v>20190111416</v>
      </c>
      <c r="D55" s="12">
        <v>70</v>
      </c>
      <c r="E55" s="12">
        <v>81.56</v>
      </c>
      <c r="F55" s="12">
        <f t="shared" si="2"/>
        <v>76.936</v>
      </c>
      <c r="G55" s="14"/>
    </row>
    <row r="56" ht="40.05" customHeight="1" spans="1:7">
      <c r="A56" s="9" t="s">
        <v>34</v>
      </c>
      <c r="B56" s="10" t="s">
        <v>35</v>
      </c>
      <c r="C56" s="11" t="str">
        <f>"20190111405"</f>
        <v>20190111405</v>
      </c>
      <c r="D56" s="12">
        <v>68.5</v>
      </c>
      <c r="E56" s="12">
        <v>80.5</v>
      </c>
      <c r="F56" s="12">
        <f t="shared" si="2"/>
        <v>75.7</v>
      </c>
      <c r="G56" s="14"/>
    </row>
    <row r="57" ht="40.05" customHeight="1" spans="1:7">
      <c r="A57" s="9" t="s">
        <v>34</v>
      </c>
      <c r="B57" s="10" t="s">
        <v>35</v>
      </c>
      <c r="C57" s="11" t="str">
        <f>"20190111426"</f>
        <v>20190111426</v>
      </c>
      <c r="D57" s="12">
        <v>68.5</v>
      </c>
      <c r="E57" s="12">
        <v>80.3</v>
      </c>
      <c r="F57" s="12">
        <f t="shared" si="2"/>
        <v>75.58</v>
      </c>
      <c r="G57" s="14"/>
    </row>
    <row r="58" ht="40.05" customHeight="1" spans="1:7">
      <c r="A58" s="9" t="s">
        <v>34</v>
      </c>
      <c r="B58" s="10" t="s">
        <v>35</v>
      </c>
      <c r="C58" s="11" t="str">
        <f>"20190111525"</f>
        <v>20190111525</v>
      </c>
      <c r="D58" s="12">
        <v>66</v>
      </c>
      <c r="E58" s="12">
        <v>80.86</v>
      </c>
      <c r="F58" s="12">
        <f t="shared" si="2"/>
        <v>74.916</v>
      </c>
      <c r="G58" s="14"/>
    </row>
    <row r="59" ht="40.05" customHeight="1" spans="1:7">
      <c r="A59" s="9" t="s">
        <v>34</v>
      </c>
      <c r="B59" s="10" t="s">
        <v>35</v>
      </c>
      <c r="C59" s="11" t="str">
        <f>"20190111427"</f>
        <v>20190111427</v>
      </c>
      <c r="D59" s="12">
        <v>66</v>
      </c>
      <c r="E59" s="12">
        <v>80.04</v>
      </c>
      <c r="F59" s="12">
        <f t="shared" si="2"/>
        <v>74.424</v>
      </c>
      <c r="G59" s="14"/>
    </row>
    <row r="60" ht="40.05" customHeight="1" spans="1:7">
      <c r="A60" s="15" t="s">
        <v>36</v>
      </c>
      <c r="B60" s="15" t="s">
        <v>37</v>
      </c>
      <c r="C60" s="16" t="str">
        <f>"20190102508"</f>
        <v>20190102508</v>
      </c>
      <c r="D60" s="12">
        <v>74</v>
      </c>
      <c r="E60" s="12">
        <v>80.44</v>
      </c>
      <c r="F60" s="12">
        <f t="shared" si="2"/>
        <v>77.864</v>
      </c>
      <c r="G60" s="14" t="s">
        <v>11</v>
      </c>
    </row>
    <row r="61" ht="40.05" customHeight="1" spans="1:7">
      <c r="A61" s="15" t="s">
        <v>36</v>
      </c>
      <c r="B61" s="15" t="s">
        <v>37</v>
      </c>
      <c r="C61" s="16" t="str">
        <f>"20190102430"</f>
        <v>20190102430</v>
      </c>
      <c r="D61" s="12">
        <v>74</v>
      </c>
      <c r="E61" s="12">
        <v>79.38</v>
      </c>
      <c r="F61" s="12">
        <f t="shared" si="2"/>
        <v>77.228</v>
      </c>
      <c r="G61" s="14"/>
    </row>
    <row r="62" ht="40.05" customHeight="1" spans="1:7">
      <c r="A62" s="15" t="s">
        <v>36</v>
      </c>
      <c r="B62" s="15" t="s">
        <v>37</v>
      </c>
      <c r="C62" s="16" t="str">
        <f>"20190102723"</f>
        <v>20190102723</v>
      </c>
      <c r="D62" s="12">
        <v>74</v>
      </c>
      <c r="E62" s="12">
        <v>78.56</v>
      </c>
      <c r="F62" s="12">
        <f t="shared" si="2"/>
        <v>76.736</v>
      </c>
      <c r="G62" s="14"/>
    </row>
    <row r="63" ht="40.05" customHeight="1" spans="1:7">
      <c r="A63" s="15" t="s">
        <v>36</v>
      </c>
      <c r="B63" s="15" t="s">
        <v>38</v>
      </c>
      <c r="C63" s="16" t="str">
        <f>"20190102908"</f>
        <v>20190102908</v>
      </c>
      <c r="D63" s="12">
        <v>76.5</v>
      </c>
      <c r="E63" s="12">
        <v>81.02</v>
      </c>
      <c r="F63" s="12">
        <f t="shared" si="2"/>
        <v>79.212</v>
      </c>
      <c r="G63" s="14" t="s">
        <v>11</v>
      </c>
    </row>
    <row r="64" ht="40.05" customHeight="1" spans="1:7">
      <c r="A64" s="15" t="s">
        <v>36</v>
      </c>
      <c r="B64" s="15" t="s">
        <v>38</v>
      </c>
      <c r="C64" s="16" t="str">
        <f>"20190103009"</f>
        <v>20190103009</v>
      </c>
      <c r="D64" s="12">
        <v>74</v>
      </c>
      <c r="E64" s="12">
        <v>79.46</v>
      </c>
      <c r="F64" s="12">
        <f t="shared" si="2"/>
        <v>77.276</v>
      </c>
      <c r="G64" s="14"/>
    </row>
    <row r="65" ht="40.05" customHeight="1" spans="1:7">
      <c r="A65" s="15" t="s">
        <v>36</v>
      </c>
      <c r="B65" s="15" t="s">
        <v>38</v>
      </c>
      <c r="C65" s="16" t="str">
        <f>"20190102920"</f>
        <v>20190102920</v>
      </c>
      <c r="D65" s="12">
        <v>73</v>
      </c>
      <c r="E65" s="12">
        <v>79.16</v>
      </c>
      <c r="F65" s="12">
        <f t="shared" si="2"/>
        <v>76.696</v>
      </c>
      <c r="G65" s="14"/>
    </row>
    <row r="66" ht="40.05" customHeight="1" spans="1:7">
      <c r="A66" s="15" t="s">
        <v>36</v>
      </c>
      <c r="B66" s="15" t="s">
        <v>38</v>
      </c>
      <c r="C66" s="16" t="str">
        <f>"20190103010"</f>
        <v>20190103010</v>
      </c>
      <c r="D66" s="12">
        <v>73</v>
      </c>
      <c r="E66" s="12">
        <v>78.34</v>
      </c>
      <c r="F66" s="12">
        <f t="shared" si="2"/>
        <v>76.204</v>
      </c>
      <c r="G66" s="14"/>
    </row>
    <row r="67" ht="40.05" customHeight="1" spans="1:7">
      <c r="A67" s="15" t="s">
        <v>36</v>
      </c>
      <c r="B67" s="15" t="s">
        <v>39</v>
      </c>
      <c r="C67" s="16" t="str">
        <f>"20190103015"</f>
        <v>20190103015</v>
      </c>
      <c r="D67" s="12">
        <v>73.5</v>
      </c>
      <c r="E67" s="12">
        <v>79</v>
      </c>
      <c r="F67" s="12">
        <f t="shared" si="2"/>
        <v>76.8</v>
      </c>
      <c r="G67" s="14" t="s">
        <v>11</v>
      </c>
    </row>
    <row r="68" ht="40.05" customHeight="1" spans="1:7">
      <c r="A68" s="15" t="s">
        <v>36</v>
      </c>
      <c r="B68" s="15" t="s">
        <v>39</v>
      </c>
      <c r="C68" s="16" t="str">
        <f>"20190103221"</f>
        <v>20190103221</v>
      </c>
      <c r="D68" s="12">
        <v>74</v>
      </c>
      <c r="E68" s="12">
        <v>78.52</v>
      </c>
      <c r="F68" s="12">
        <f t="shared" si="2"/>
        <v>76.712</v>
      </c>
      <c r="G68" s="14"/>
    </row>
    <row r="69" ht="40.05" customHeight="1" spans="1:7">
      <c r="A69" s="15" t="s">
        <v>36</v>
      </c>
      <c r="B69" s="15" t="s">
        <v>39</v>
      </c>
      <c r="C69" s="16" t="str">
        <f>"20190103028"</f>
        <v>20190103028</v>
      </c>
      <c r="D69" s="12">
        <v>73</v>
      </c>
      <c r="E69" s="12">
        <v>79.04</v>
      </c>
      <c r="F69" s="12">
        <f t="shared" si="2"/>
        <v>76.624</v>
      </c>
      <c r="G69" s="14"/>
    </row>
    <row r="70" ht="40.05" customHeight="1" spans="1:7">
      <c r="A70" s="15" t="s">
        <v>36</v>
      </c>
      <c r="B70" s="15" t="s">
        <v>40</v>
      </c>
      <c r="C70" s="16" t="str">
        <f>"20190103302"</f>
        <v>20190103302</v>
      </c>
      <c r="D70" s="12">
        <v>78.5</v>
      </c>
      <c r="E70" s="12">
        <v>80.46</v>
      </c>
      <c r="F70" s="12">
        <f t="shared" si="2"/>
        <v>79.676</v>
      </c>
      <c r="G70" s="14" t="s">
        <v>11</v>
      </c>
    </row>
    <row r="71" ht="40.05" customHeight="1" spans="1:7">
      <c r="A71" s="15" t="s">
        <v>36</v>
      </c>
      <c r="B71" s="15" t="s">
        <v>40</v>
      </c>
      <c r="C71" s="16" t="str">
        <f>"20190103330"</f>
        <v>20190103330</v>
      </c>
      <c r="D71" s="12">
        <v>71</v>
      </c>
      <c r="E71" s="12">
        <v>78.32</v>
      </c>
      <c r="F71" s="12">
        <f t="shared" si="2"/>
        <v>75.392</v>
      </c>
      <c r="G71" s="14"/>
    </row>
    <row r="72" ht="40.05" customHeight="1" spans="1:7">
      <c r="A72" s="15" t="s">
        <v>36</v>
      </c>
      <c r="B72" s="15" t="s">
        <v>40</v>
      </c>
      <c r="C72" s="16" t="str">
        <f>"20190103313"</f>
        <v>20190103313</v>
      </c>
      <c r="D72" s="12">
        <v>69.5</v>
      </c>
      <c r="E72" s="12">
        <v>79.18</v>
      </c>
      <c r="F72" s="12">
        <f t="shared" si="2"/>
        <v>75.308</v>
      </c>
      <c r="G72" s="14"/>
    </row>
    <row r="73" ht="40.05" customHeight="1" spans="1:7">
      <c r="A73" s="9" t="s">
        <v>41</v>
      </c>
      <c r="B73" s="10" t="s">
        <v>33</v>
      </c>
      <c r="C73" s="11" t="str">
        <f>"20190111614"</f>
        <v>20190111614</v>
      </c>
      <c r="D73" s="12">
        <v>60.5</v>
      </c>
      <c r="E73" s="12">
        <v>81.54</v>
      </c>
      <c r="F73" s="12">
        <f t="shared" si="2"/>
        <v>73.124</v>
      </c>
      <c r="G73" s="14" t="s">
        <v>11</v>
      </c>
    </row>
    <row r="74" ht="40.05" customHeight="1" spans="1:7">
      <c r="A74" s="9" t="s">
        <v>41</v>
      </c>
      <c r="B74" s="10" t="s">
        <v>33</v>
      </c>
      <c r="C74" s="11" t="str">
        <f>"20190111624"</f>
        <v>20190111624</v>
      </c>
      <c r="D74" s="12">
        <v>62</v>
      </c>
      <c r="E74" s="12">
        <v>77.8</v>
      </c>
      <c r="F74" s="12">
        <f t="shared" si="2"/>
        <v>71.48</v>
      </c>
      <c r="G74" s="14"/>
    </row>
    <row r="75" ht="40.05" customHeight="1" spans="1:7">
      <c r="A75" s="9" t="s">
        <v>41</v>
      </c>
      <c r="B75" s="10" t="s">
        <v>33</v>
      </c>
      <c r="C75" s="11" t="str">
        <f>"20190111617"</f>
        <v>20190111617</v>
      </c>
      <c r="D75" s="12">
        <v>61.5</v>
      </c>
      <c r="E75" s="12">
        <v>77.96</v>
      </c>
      <c r="F75" s="12">
        <f t="shared" si="2"/>
        <v>71.376</v>
      </c>
      <c r="G75" s="14"/>
    </row>
    <row r="76" ht="40.05" customHeight="1" spans="1:7">
      <c r="A76" s="9" t="s">
        <v>42</v>
      </c>
      <c r="B76" s="10" t="s">
        <v>43</v>
      </c>
      <c r="C76" s="11" t="str">
        <f>"20190111716"</f>
        <v>20190111716</v>
      </c>
      <c r="D76" s="12">
        <v>74.5</v>
      </c>
      <c r="E76" s="12">
        <v>79</v>
      </c>
      <c r="F76" s="12">
        <f t="shared" si="2"/>
        <v>77.2</v>
      </c>
      <c r="G76" s="14" t="s">
        <v>11</v>
      </c>
    </row>
    <row r="77" ht="40.05" customHeight="1" spans="1:7">
      <c r="A77" s="9" t="s">
        <v>42</v>
      </c>
      <c r="B77" s="10" t="s">
        <v>43</v>
      </c>
      <c r="C77" s="11" t="str">
        <f>"20190111721"</f>
        <v>20190111721</v>
      </c>
      <c r="D77" s="12">
        <v>73</v>
      </c>
      <c r="E77" s="12">
        <v>75.7</v>
      </c>
      <c r="F77" s="12">
        <f t="shared" si="2"/>
        <v>74.62</v>
      </c>
      <c r="G77" s="14"/>
    </row>
    <row r="78" ht="40.05" customHeight="1" spans="1:7">
      <c r="A78" s="9" t="s">
        <v>42</v>
      </c>
      <c r="B78" s="10" t="s">
        <v>43</v>
      </c>
      <c r="C78" s="11" t="str">
        <f>"20190111814"</f>
        <v>20190111814</v>
      </c>
      <c r="D78" s="12">
        <v>73</v>
      </c>
      <c r="E78" s="12">
        <v>74.9</v>
      </c>
      <c r="F78" s="12">
        <f t="shared" si="2"/>
        <v>74.14</v>
      </c>
      <c r="G78" s="14"/>
    </row>
    <row r="79" ht="40.05" customHeight="1" spans="1:7">
      <c r="A79" s="9" t="s">
        <v>42</v>
      </c>
      <c r="B79" s="10" t="s">
        <v>44</v>
      </c>
      <c r="C79" s="11" t="str">
        <f>"20190111828"</f>
        <v>20190111828</v>
      </c>
      <c r="D79" s="12">
        <v>69</v>
      </c>
      <c r="E79" s="12">
        <v>83.12</v>
      </c>
      <c r="F79" s="12">
        <f t="shared" si="2"/>
        <v>77.472</v>
      </c>
      <c r="G79" s="14" t="s">
        <v>11</v>
      </c>
    </row>
    <row r="80" ht="40.05" customHeight="1" spans="1:7">
      <c r="A80" s="9" t="s">
        <v>42</v>
      </c>
      <c r="B80" s="10" t="s">
        <v>44</v>
      </c>
      <c r="C80" s="11" t="str">
        <f>"20190111908"</f>
        <v>20190111908</v>
      </c>
      <c r="D80" s="12">
        <v>69.5</v>
      </c>
      <c r="E80" s="12">
        <v>77.72</v>
      </c>
      <c r="F80" s="12">
        <f t="shared" si="2"/>
        <v>74.432</v>
      </c>
      <c r="G80" s="14"/>
    </row>
    <row r="81" ht="40.05" customHeight="1" spans="1:7">
      <c r="A81" s="9" t="s">
        <v>42</v>
      </c>
      <c r="B81" s="10" t="s">
        <v>44</v>
      </c>
      <c r="C81" s="11" t="str">
        <f>"20190112002"</f>
        <v>20190112002</v>
      </c>
      <c r="D81" s="12">
        <v>70.5</v>
      </c>
      <c r="E81" s="12">
        <v>76.36</v>
      </c>
      <c r="F81" s="12">
        <f t="shared" si="2"/>
        <v>74.016</v>
      </c>
      <c r="G81" s="14"/>
    </row>
    <row r="82" ht="40.05" customHeight="1" spans="1:7">
      <c r="A82" s="9" t="s">
        <v>42</v>
      </c>
      <c r="B82" s="10" t="s">
        <v>10</v>
      </c>
      <c r="C82" s="11" t="str">
        <f>"20190112201"</f>
        <v>20190112201</v>
      </c>
      <c r="D82" s="12">
        <v>75.5</v>
      </c>
      <c r="E82" s="12">
        <v>84.4</v>
      </c>
      <c r="F82" s="12">
        <f t="shared" si="2"/>
        <v>80.84</v>
      </c>
      <c r="G82" s="14" t="s">
        <v>11</v>
      </c>
    </row>
    <row r="83" ht="40.05" customHeight="1" spans="1:7">
      <c r="A83" s="9" t="s">
        <v>42</v>
      </c>
      <c r="B83" s="10" t="s">
        <v>10</v>
      </c>
      <c r="C83" s="11" t="str">
        <f>"20190112012"</f>
        <v>20190112012</v>
      </c>
      <c r="D83" s="12">
        <v>74</v>
      </c>
      <c r="E83" s="12">
        <v>77.36</v>
      </c>
      <c r="F83" s="12">
        <f t="shared" si="2"/>
        <v>76.016</v>
      </c>
      <c r="G83" s="14"/>
    </row>
    <row r="84" ht="40.05" customHeight="1" spans="1:7">
      <c r="A84" s="9" t="s">
        <v>42</v>
      </c>
      <c r="B84" s="10" t="s">
        <v>10</v>
      </c>
      <c r="C84" s="11" t="str">
        <f>"20190112110"</f>
        <v>20190112110</v>
      </c>
      <c r="D84" s="12">
        <v>72</v>
      </c>
      <c r="E84" s="12">
        <v>76.8</v>
      </c>
      <c r="F84" s="12">
        <f t="shared" si="2"/>
        <v>74.88</v>
      </c>
      <c r="G84" s="14"/>
    </row>
    <row r="85" ht="40.05" customHeight="1" spans="1:7">
      <c r="A85" s="9" t="s">
        <v>45</v>
      </c>
      <c r="B85" s="10" t="s">
        <v>46</v>
      </c>
      <c r="C85" s="11" t="str">
        <f>"20190112210"</f>
        <v>20190112210</v>
      </c>
      <c r="D85" s="12">
        <v>72</v>
      </c>
      <c r="E85" s="12">
        <v>81.22</v>
      </c>
      <c r="F85" s="12">
        <f t="shared" si="2"/>
        <v>77.532</v>
      </c>
      <c r="G85" s="14" t="s">
        <v>11</v>
      </c>
    </row>
    <row r="86" ht="40.05" customHeight="1" spans="1:7">
      <c r="A86" s="9" t="s">
        <v>45</v>
      </c>
      <c r="B86" s="10" t="s">
        <v>46</v>
      </c>
      <c r="C86" s="11" t="str">
        <f>"20190112214"</f>
        <v>20190112214</v>
      </c>
      <c r="D86" s="12">
        <v>68.5</v>
      </c>
      <c r="E86" s="12">
        <v>80.66</v>
      </c>
      <c r="F86" s="12">
        <f t="shared" si="2"/>
        <v>75.796</v>
      </c>
      <c r="G86" s="14"/>
    </row>
    <row r="87" ht="40.05" customHeight="1" spans="1:7">
      <c r="A87" s="9" t="s">
        <v>45</v>
      </c>
      <c r="B87" s="10" t="s">
        <v>46</v>
      </c>
      <c r="C87" s="11" t="str">
        <f>"20190112212"</f>
        <v>20190112212</v>
      </c>
      <c r="D87" s="12">
        <v>58.5</v>
      </c>
      <c r="E87" s="12">
        <v>79.14</v>
      </c>
      <c r="F87" s="12">
        <f t="shared" si="2"/>
        <v>70.884</v>
      </c>
      <c r="G87" s="14"/>
    </row>
    <row r="88" ht="40.05" customHeight="1" spans="1:7">
      <c r="A88" s="9" t="s">
        <v>45</v>
      </c>
      <c r="B88" s="10" t="s">
        <v>47</v>
      </c>
      <c r="C88" s="11" t="str">
        <f>"20190112308"</f>
        <v>20190112308</v>
      </c>
      <c r="D88" s="12">
        <v>71</v>
      </c>
      <c r="E88" s="12">
        <v>82.54</v>
      </c>
      <c r="F88" s="12">
        <f t="shared" si="2"/>
        <v>77.924</v>
      </c>
      <c r="G88" s="14" t="s">
        <v>11</v>
      </c>
    </row>
    <row r="89" ht="40.05" customHeight="1" spans="1:7">
      <c r="A89" s="9" t="s">
        <v>45</v>
      </c>
      <c r="B89" s="10" t="s">
        <v>47</v>
      </c>
      <c r="C89" s="11" t="str">
        <f>"20190112315"</f>
        <v>20190112315</v>
      </c>
      <c r="D89" s="12">
        <v>69.5</v>
      </c>
      <c r="E89" s="12">
        <v>81.58</v>
      </c>
      <c r="F89" s="12">
        <f t="shared" si="2"/>
        <v>76.748</v>
      </c>
      <c r="G89" s="14"/>
    </row>
    <row r="90" ht="40.05" customHeight="1" spans="1:7">
      <c r="A90" s="9" t="s">
        <v>45</v>
      </c>
      <c r="B90" s="10" t="s">
        <v>47</v>
      </c>
      <c r="C90" s="11" t="str">
        <f>"20190112309"</f>
        <v>20190112309</v>
      </c>
      <c r="D90" s="12">
        <v>69</v>
      </c>
      <c r="E90" s="12">
        <v>76.8</v>
      </c>
      <c r="F90" s="12">
        <f t="shared" si="2"/>
        <v>73.68</v>
      </c>
      <c r="G90" s="14"/>
    </row>
    <row r="91" ht="40.05" customHeight="1" spans="1:7">
      <c r="A91" s="9" t="s">
        <v>45</v>
      </c>
      <c r="B91" s="10" t="s">
        <v>48</v>
      </c>
      <c r="C91" s="11" t="str">
        <f>"20190112413"</f>
        <v>20190112413</v>
      </c>
      <c r="D91" s="12">
        <v>72</v>
      </c>
      <c r="E91" s="12">
        <v>79.6</v>
      </c>
      <c r="F91" s="12">
        <f t="shared" si="2"/>
        <v>76.56</v>
      </c>
      <c r="G91" s="14" t="s">
        <v>11</v>
      </c>
    </row>
    <row r="92" ht="40.05" customHeight="1" spans="1:7">
      <c r="A92" s="9" t="s">
        <v>45</v>
      </c>
      <c r="B92" s="10" t="s">
        <v>48</v>
      </c>
      <c r="C92" s="11" t="str">
        <f>"20190112411"</f>
        <v>20190112411</v>
      </c>
      <c r="D92" s="12">
        <v>66.5</v>
      </c>
      <c r="E92" s="12">
        <v>79.16</v>
      </c>
      <c r="F92" s="12">
        <f t="shared" si="2"/>
        <v>74.096</v>
      </c>
      <c r="G92" s="14"/>
    </row>
    <row r="93" ht="40.05" customHeight="1" spans="1:7">
      <c r="A93" s="9" t="s">
        <v>45</v>
      </c>
      <c r="B93" s="10" t="s">
        <v>48</v>
      </c>
      <c r="C93" s="11" t="str">
        <f>"20190112402"</f>
        <v>20190112402</v>
      </c>
      <c r="D93" s="12">
        <v>67</v>
      </c>
      <c r="E93" s="12">
        <v>77.12</v>
      </c>
      <c r="F93" s="12">
        <f t="shared" ref="F93:F110" si="3">D93*0.4+E93*0.6</f>
        <v>73.072</v>
      </c>
      <c r="G93" s="14"/>
    </row>
    <row r="94" ht="40.05" customHeight="1" spans="1:7">
      <c r="A94" s="15" t="s">
        <v>49</v>
      </c>
      <c r="B94" s="15" t="s">
        <v>26</v>
      </c>
      <c r="C94" s="16" t="str">
        <f>"20190103520"</f>
        <v>20190103520</v>
      </c>
      <c r="D94" s="12">
        <v>74</v>
      </c>
      <c r="E94" s="12">
        <v>81.74</v>
      </c>
      <c r="F94" s="12">
        <f t="shared" si="3"/>
        <v>78.644</v>
      </c>
      <c r="G94" s="14" t="s">
        <v>11</v>
      </c>
    </row>
    <row r="95" ht="40.05" customHeight="1" spans="1:7">
      <c r="A95" s="15" t="s">
        <v>49</v>
      </c>
      <c r="B95" s="15" t="s">
        <v>26</v>
      </c>
      <c r="C95" s="16" t="str">
        <f>"20190103701"</f>
        <v>20190103701</v>
      </c>
      <c r="D95" s="12">
        <v>76</v>
      </c>
      <c r="E95" s="12">
        <v>79.58</v>
      </c>
      <c r="F95" s="12">
        <f t="shared" si="3"/>
        <v>78.148</v>
      </c>
      <c r="G95" s="14"/>
    </row>
    <row r="96" ht="40.05" customHeight="1" spans="1:7">
      <c r="A96" s="15" t="s">
        <v>49</v>
      </c>
      <c r="B96" s="15" t="s">
        <v>26</v>
      </c>
      <c r="C96" s="16" t="str">
        <f>"20190103605"</f>
        <v>20190103605</v>
      </c>
      <c r="D96" s="12">
        <v>74</v>
      </c>
      <c r="E96" s="12">
        <v>74.48</v>
      </c>
      <c r="F96" s="12">
        <f t="shared" si="3"/>
        <v>74.288</v>
      </c>
      <c r="G96" s="14"/>
    </row>
    <row r="97" ht="40.05" customHeight="1" spans="1:7">
      <c r="A97" s="15" t="s">
        <v>49</v>
      </c>
      <c r="B97" s="15" t="s">
        <v>50</v>
      </c>
      <c r="C97" s="16" t="str">
        <f>"20190103828"</f>
        <v>20190103828</v>
      </c>
      <c r="D97" s="12">
        <v>75.5</v>
      </c>
      <c r="E97" s="12">
        <v>81.34</v>
      </c>
      <c r="F97" s="12">
        <f t="shared" si="3"/>
        <v>79.004</v>
      </c>
      <c r="G97" s="14" t="s">
        <v>11</v>
      </c>
    </row>
    <row r="98" ht="40.05" customHeight="1" spans="1:7">
      <c r="A98" s="15" t="s">
        <v>49</v>
      </c>
      <c r="B98" s="15" t="s">
        <v>50</v>
      </c>
      <c r="C98" s="16" t="str">
        <f>"20190103911"</f>
        <v>20190103911</v>
      </c>
      <c r="D98" s="12">
        <v>73.5</v>
      </c>
      <c r="E98" s="12">
        <v>79.68</v>
      </c>
      <c r="F98" s="12">
        <f t="shared" si="3"/>
        <v>77.208</v>
      </c>
      <c r="G98" s="14"/>
    </row>
    <row r="99" ht="40.05" customHeight="1" spans="1:7">
      <c r="A99" s="15" t="s">
        <v>49</v>
      </c>
      <c r="B99" s="15" t="s">
        <v>50</v>
      </c>
      <c r="C99" s="16" t="str">
        <f>"20190103901"</f>
        <v>20190103901</v>
      </c>
      <c r="D99" s="12">
        <v>72</v>
      </c>
      <c r="E99" s="12">
        <v>77.22</v>
      </c>
      <c r="F99" s="12">
        <f t="shared" si="3"/>
        <v>75.132</v>
      </c>
      <c r="G99" s="14"/>
    </row>
    <row r="100" ht="40.05" customHeight="1" spans="1:7">
      <c r="A100" s="15" t="s">
        <v>49</v>
      </c>
      <c r="B100" s="15" t="s">
        <v>51</v>
      </c>
      <c r="C100" s="16" t="str">
        <f>"20190103923"</f>
        <v>20190103923</v>
      </c>
      <c r="D100" s="12">
        <v>73.5</v>
      </c>
      <c r="E100" s="12">
        <v>77.9</v>
      </c>
      <c r="F100" s="12">
        <f t="shared" si="3"/>
        <v>76.14</v>
      </c>
      <c r="G100" s="14" t="s">
        <v>11</v>
      </c>
    </row>
    <row r="101" ht="40.05" customHeight="1" spans="1:7">
      <c r="A101" s="15" t="s">
        <v>49</v>
      </c>
      <c r="B101" s="15" t="s">
        <v>51</v>
      </c>
      <c r="C101" s="16" t="str">
        <f>"20190103930"</f>
        <v>20190103930</v>
      </c>
      <c r="D101" s="12">
        <v>70.5</v>
      </c>
      <c r="E101" s="12">
        <v>77.98</v>
      </c>
      <c r="F101" s="12">
        <f t="shared" si="3"/>
        <v>74.988</v>
      </c>
      <c r="G101" s="14" t="s">
        <v>11</v>
      </c>
    </row>
    <row r="102" ht="40.05" customHeight="1" spans="1:7">
      <c r="A102" s="15" t="s">
        <v>49</v>
      </c>
      <c r="B102" s="15" t="s">
        <v>51</v>
      </c>
      <c r="C102" s="16" t="str">
        <f>"20190104003"</f>
        <v>20190104003</v>
      </c>
      <c r="D102" s="12">
        <v>70.5</v>
      </c>
      <c r="E102" s="12">
        <v>76.16</v>
      </c>
      <c r="F102" s="12">
        <f t="shared" si="3"/>
        <v>73.896</v>
      </c>
      <c r="G102" s="14"/>
    </row>
    <row r="103" ht="40.05" customHeight="1" spans="1:7">
      <c r="A103" s="15" t="s">
        <v>49</v>
      </c>
      <c r="B103" s="15" t="s">
        <v>51</v>
      </c>
      <c r="C103" s="16" t="str">
        <f>"20190104011"</f>
        <v>20190104011</v>
      </c>
      <c r="D103" s="12">
        <v>70.5</v>
      </c>
      <c r="E103" s="12">
        <v>74.3</v>
      </c>
      <c r="F103" s="12">
        <f t="shared" si="3"/>
        <v>72.78</v>
      </c>
      <c r="G103" s="14"/>
    </row>
    <row r="104" ht="40.05" customHeight="1" spans="1:7">
      <c r="A104" s="15" t="s">
        <v>49</v>
      </c>
      <c r="B104" s="15" t="s">
        <v>51</v>
      </c>
      <c r="C104" s="16" t="str">
        <f>"20190104010"</f>
        <v>20190104010</v>
      </c>
      <c r="D104" s="12">
        <v>70.5</v>
      </c>
      <c r="E104" s="12">
        <v>66.98</v>
      </c>
      <c r="F104" s="12">
        <f t="shared" si="3"/>
        <v>68.388</v>
      </c>
      <c r="G104" s="14"/>
    </row>
    <row r="105" ht="40.05" customHeight="1" spans="1:7">
      <c r="A105" s="15" t="s">
        <v>52</v>
      </c>
      <c r="B105" s="15" t="s">
        <v>53</v>
      </c>
      <c r="C105" s="16" t="str">
        <f>"20190104218"</f>
        <v>20190104218</v>
      </c>
      <c r="D105" s="12">
        <v>75</v>
      </c>
      <c r="E105" s="12">
        <v>82.68</v>
      </c>
      <c r="F105" s="12">
        <f t="shared" si="3"/>
        <v>79.608</v>
      </c>
      <c r="G105" s="13" t="s">
        <v>11</v>
      </c>
    </row>
    <row r="106" ht="40.05" customHeight="1" spans="1:7">
      <c r="A106" s="15" t="s">
        <v>52</v>
      </c>
      <c r="B106" s="15" t="s">
        <v>53</v>
      </c>
      <c r="C106" s="16" t="str">
        <f>"20190104214"</f>
        <v>20190104214</v>
      </c>
      <c r="D106" s="12">
        <v>72.5</v>
      </c>
      <c r="E106" s="12">
        <v>80.44</v>
      </c>
      <c r="F106" s="12">
        <f t="shared" si="3"/>
        <v>77.264</v>
      </c>
      <c r="G106" s="14"/>
    </row>
    <row r="107" ht="40.05" customHeight="1" spans="1:7">
      <c r="A107" s="15" t="s">
        <v>52</v>
      </c>
      <c r="B107" s="15" t="s">
        <v>53</v>
      </c>
      <c r="C107" s="16" t="str">
        <f>"20190104109"</f>
        <v>20190104109</v>
      </c>
      <c r="D107" s="12">
        <v>76.5</v>
      </c>
      <c r="E107" s="12">
        <v>77.66</v>
      </c>
      <c r="F107" s="12">
        <f t="shared" si="3"/>
        <v>77.196</v>
      </c>
      <c r="G107" s="14"/>
    </row>
    <row r="108" ht="40.05" customHeight="1" spans="1:7">
      <c r="A108" s="9" t="s">
        <v>54</v>
      </c>
      <c r="B108" s="10" t="s">
        <v>55</v>
      </c>
      <c r="C108" s="11" t="str">
        <f>"20190118727"</f>
        <v>20190118727</v>
      </c>
      <c r="D108" s="12">
        <v>80.5</v>
      </c>
      <c r="E108" s="12">
        <v>82.14</v>
      </c>
      <c r="F108" s="12">
        <f t="shared" si="3"/>
        <v>81.484</v>
      </c>
      <c r="G108" s="14" t="s">
        <v>11</v>
      </c>
    </row>
    <row r="109" ht="40.05" customHeight="1" spans="1:7">
      <c r="A109" s="9" t="s">
        <v>54</v>
      </c>
      <c r="B109" s="10" t="s">
        <v>55</v>
      </c>
      <c r="C109" s="11" t="str">
        <f>"20190118603"</f>
        <v>20190118603</v>
      </c>
      <c r="D109" s="12">
        <v>71.5</v>
      </c>
      <c r="E109" s="12">
        <v>83.58</v>
      </c>
      <c r="F109" s="12">
        <f t="shared" si="3"/>
        <v>78.748</v>
      </c>
      <c r="G109" s="14"/>
    </row>
    <row r="110" ht="40.05" customHeight="1" spans="1:7">
      <c r="A110" s="9" t="s">
        <v>54</v>
      </c>
      <c r="B110" s="10" t="s">
        <v>55</v>
      </c>
      <c r="C110" s="11" t="str">
        <f>"20190118904"</f>
        <v>20190118904</v>
      </c>
      <c r="D110" s="12">
        <v>71</v>
      </c>
      <c r="E110" s="12">
        <v>80.98</v>
      </c>
      <c r="F110" s="12">
        <f t="shared" si="3"/>
        <v>76.988</v>
      </c>
      <c r="G110" s="14"/>
    </row>
    <row r="111" ht="40.05" customHeight="1" spans="1:7">
      <c r="A111" s="9" t="s">
        <v>56</v>
      </c>
      <c r="B111" s="10" t="s">
        <v>57</v>
      </c>
      <c r="C111" s="11" t="str">
        <f>"20190112525"</f>
        <v>20190112525</v>
      </c>
      <c r="D111" s="12">
        <v>72</v>
      </c>
      <c r="E111" s="12">
        <v>84.44</v>
      </c>
      <c r="F111" s="12">
        <f t="shared" ref="F111:F119" si="4">D111*0.4+E111*0.6</f>
        <v>79.464</v>
      </c>
      <c r="G111" s="14" t="s">
        <v>11</v>
      </c>
    </row>
    <row r="112" ht="40.05" customHeight="1" spans="1:7">
      <c r="A112" s="9" t="s">
        <v>56</v>
      </c>
      <c r="B112" s="10" t="s">
        <v>57</v>
      </c>
      <c r="C112" s="11" t="str">
        <f>"20190112517"</f>
        <v>20190112517</v>
      </c>
      <c r="D112" s="12">
        <v>73</v>
      </c>
      <c r="E112" s="12">
        <v>79.02</v>
      </c>
      <c r="F112" s="12">
        <f t="shared" si="4"/>
        <v>76.612</v>
      </c>
      <c r="G112" s="14"/>
    </row>
    <row r="113" ht="40.05" customHeight="1" spans="1:7">
      <c r="A113" s="9" t="s">
        <v>56</v>
      </c>
      <c r="B113" s="10" t="s">
        <v>57</v>
      </c>
      <c r="C113" s="11" t="str">
        <f>"20190112507"</f>
        <v>20190112507</v>
      </c>
      <c r="D113" s="12">
        <v>70</v>
      </c>
      <c r="E113" s="12">
        <v>76.44</v>
      </c>
      <c r="F113" s="12">
        <f t="shared" si="4"/>
        <v>73.864</v>
      </c>
      <c r="G113" s="14"/>
    </row>
    <row r="114" ht="40.05" customHeight="1" spans="1:7">
      <c r="A114" s="9" t="s">
        <v>56</v>
      </c>
      <c r="B114" s="10" t="s">
        <v>58</v>
      </c>
      <c r="C114" s="11" t="str">
        <f>"20190112710"</f>
        <v>20190112710</v>
      </c>
      <c r="D114" s="12">
        <v>77.5</v>
      </c>
      <c r="E114" s="12">
        <v>81.68</v>
      </c>
      <c r="F114" s="12">
        <f t="shared" si="4"/>
        <v>80.008</v>
      </c>
      <c r="G114" s="14" t="s">
        <v>11</v>
      </c>
    </row>
    <row r="115" ht="40.05" customHeight="1" spans="1:7">
      <c r="A115" s="9" t="s">
        <v>56</v>
      </c>
      <c r="B115" s="10" t="s">
        <v>58</v>
      </c>
      <c r="C115" s="11" t="str">
        <f>"20190112707"</f>
        <v>20190112707</v>
      </c>
      <c r="D115" s="12">
        <v>73</v>
      </c>
      <c r="E115" s="12">
        <v>83.5</v>
      </c>
      <c r="F115" s="12">
        <f t="shared" si="4"/>
        <v>79.3</v>
      </c>
      <c r="G115" s="14"/>
    </row>
    <row r="116" ht="40.05" customHeight="1" spans="1:7">
      <c r="A116" s="9" t="s">
        <v>56</v>
      </c>
      <c r="B116" s="10" t="s">
        <v>58</v>
      </c>
      <c r="C116" s="11" t="str">
        <f>"20190112722"</f>
        <v>20190112722</v>
      </c>
      <c r="D116" s="12">
        <v>75</v>
      </c>
      <c r="E116" s="12">
        <v>75.26</v>
      </c>
      <c r="F116" s="12">
        <f t="shared" si="4"/>
        <v>75.156</v>
      </c>
      <c r="G116" s="14"/>
    </row>
    <row r="117" ht="40.05" customHeight="1" spans="1:7">
      <c r="A117" s="9" t="s">
        <v>56</v>
      </c>
      <c r="B117" s="10" t="s">
        <v>59</v>
      </c>
      <c r="C117" s="11" t="str">
        <f>"20190112808"</f>
        <v>20190112808</v>
      </c>
      <c r="D117" s="12">
        <v>64.5</v>
      </c>
      <c r="E117" s="12">
        <v>76.9</v>
      </c>
      <c r="F117" s="12">
        <f t="shared" si="4"/>
        <v>71.94</v>
      </c>
      <c r="G117" s="14" t="s">
        <v>11</v>
      </c>
    </row>
    <row r="118" ht="40.05" customHeight="1" spans="1:7">
      <c r="A118" s="9" t="s">
        <v>56</v>
      </c>
      <c r="B118" s="10" t="s">
        <v>59</v>
      </c>
      <c r="C118" s="11" t="str">
        <f>"20190112821"</f>
        <v>20190112821</v>
      </c>
      <c r="D118" s="12">
        <v>67.5</v>
      </c>
      <c r="E118" s="12">
        <v>73.54</v>
      </c>
      <c r="F118" s="12">
        <f t="shared" si="4"/>
        <v>71.124</v>
      </c>
      <c r="G118" s="14"/>
    </row>
    <row r="119" ht="40.05" customHeight="1" spans="1:7">
      <c r="A119" s="9" t="s">
        <v>56</v>
      </c>
      <c r="B119" s="10" t="s">
        <v>59</v>
      </c>
      <c r="C119" s="11" t="str">
        <f>"20190112805"</f>
        <v>20190112805</v>
      </c>
      <c r="D119" s="12">
        <v>64.5</v>
      </c>
      <c r="E119" s="12">
        <v>72.5</v>
      </c>
      <c r="F119" s="12">
        <f t="shared" si="4"/>
        <v>69.3</v>
      </c>
      <c r="G119" s="14"/>
    </row>
    <row r="120" ht="40.05" customHeight="1" spans="1:7">
      <c r="A120" s="9" t="s">
        <v>60</v>
      </c>
      <c r="B120" s="10" t="s">
        <v>10</v>
      </c>
      <c r="C120" s="11" t="str">
        <f>"20190112920"</f>
        <v>20190112920</v>
      </c>
      <c r="D120" s="12">
        <v>70</v>
      </c>
      <c r="E120" s="12">
        <v>79.24</v>
      </c>
      <c r="F120" s="12">
        <f t="shared" ref="F120:F183" si="5">D120*0.4+E120*0.6</f>
        <v>75.544</v>
      </c>
      <c r="G120" s="14" t="s">
        <v>11</v>
      </c>
    </row>
    <row r="121" ht="40.05" customHeight="1" spans="1:7">
      <c r="A121" s="9" t="s">
        <v>60</v>
      </c>
      <c r="B121" s="10" t="s">
        <v>10</v>
      </c>
      <c r="C121" s="11" t="str">
        <f>"20190113020"</f>
        <v>20190113020</v>
      </c>
      <c r="D121" s="12">
        <v>71.5</v>
      </c>
      <c r="E121" s="12">
        <v>78.16</v>
      </c>
      <c r="F121" s="12">
        <f t="shared" si="5"/>
        <v>75.496</v>
      </c>
      <c r="G121" s="14"/>
    </row>
    <row r="122" ht="40.05" customHeight="1" spans="1:7">
      <c r="A122" s="9" t="s">
        <v>60</v>
      </c>
      <c r="B122" s="10" t="s">
        <v>10</v>
      </c>
      <c r="C122" s="11" t="str">
        <f>"20190112909"</f>
        <v>20190112909</v>
      </c>
      <c r="D122" s="12">
        <v>70.5</v>
      </c>
      <c r="E122" s="12">
        <v>78.82</v>
      </c>
      <c r="F122" s="12">
        <f t="shared" si="5"/>
        <v>75.492</v>
      </c>
      <c r="G122" s="14"/>
    </row>
    <row r="123" ht="40.05" customHeight="1" spans="1:7">
      <c r="A123" s="9" t="s">
        <v>61</v>
      </c>
      <c r="B123" s="10" t="s">
        <v>10</v>
      </c>
      <c r="C123" s="11" t="str">
        <f>"20190113429"</f>
        <v>20190113429</v>
      </c>
      <c r="D123" s="12">
        <v>74</v>
      </c>
      <c r="E123" s="12">
        <v>76.4</v>
      </c>
      <c r="F123" s="12">
        <f t="shared" si="5"/>
        <v>75.44</v>
      </c>
      <c r="G123" s="14" t="s">
        <v>11</v>
      </c>
    </row>
    <row r="124" ht="40.05" customHeight="1" spans="1:7">
      <c r="A124" s="9" t="s">
        <v>61</v>
      </c>
      <c r="B124" s="10" t="s">
        <v>10</v>
      </c>
      <c r="C124" s="11" t="str">
        <f>"20190113212"</f>
        <v>20190113212</v>
      </c>
      <c r="D124" s="12">
        <v>77.5</v>
      </c>
      <c r="E124" s="12">
        <v>73.78</v>
      </c>
      <c r="F124" s="12">
        <f t="shared" si="5"/>
        <v>75.268</v>
      </c>
      <c r="G124" s="14"/>
    </row>
    <row r="125" ht="40.05" customHeight="1" spans="1:7">
      <c r="A125" s="9" t="s">
        <v>61</v>
      </c>
      <c r="B125" s="10" t="s">
        <v>10</v>
      </c>
      <c r="C125" s="11" t="str">
        <f>"20190113502"</f>
        <v>20190113502</v>
      </c>
      <c r="D125" s="12">
        <v>72</v>
      </c>
      <c r="E125" s="12">
        <v>76.4</v>
      </c>
      <c r="F125" s="12">
        <f t="shared" si="5"/>
        <v>74.64</v>
      </c>
      <c r="G125" s="14"/>
    </row>
    <row r="126" ht="40.05" customHeight="1" spans="1:7">
      <c r="A126" s="15" t="s">
        <v>62</v>
      </c>
      <c r="B126" s="15" t="s">
        <v>26</v>
      </c>
      <c r="C126" s="16" t="str">
        <f>"20190104317"</f>
        <v>20190104317</v>
      </c>
      <c r="D126" s="12">
        <v>76</v>
      </c>
      <c r="E126" s="12">
        <v>80.2</v>
      </c>
      <c r="F126" s="12">
        <f t="shared" si="5"/>
        <v>78.52</v>
      </c>
      <c r="G126" s="14" t="s">
        <v>11</v>
      </c>
    </row>
    <row r="127" ht="40.05" customHeight="1" spans="1:7">
      <c r="A127" s="15" t="s">
        <v>62</v>
      </c>
      <c r="B127" s="15" t="s">
        <v>26</v>
      </c>
      <c r="C127" s="16" t="str">
        <f>"20190104308"</f>
        <v>20190104308</v>
      </c>
      <c r="D127" s="12">
        <v>75</v>
      </c>
      <c r="E127" s="12">
        <v>80.28</v>
      </c>
      <c r="F127" s="12">
        <f t="shared" si="5"/>
        <v>78.168</v>
      </c>
      <c r="G127" s="14"/>
    </row>
    <row r="128" ht="40.05" customHeight="1" spans="1:7">
      <c r="A128" s="15" t="s">
        <v>62</v>
      </c>
      <c r="B128" s="15" t="s">
        <v>26</v>
      </c>
      <c r="C128" s="16" t="str">
        <f>"20190104322"</f>
        <v>20190104322</v>
      </c>
      <c r="D128" s="12">
        <v>73</v>
      </c>
      <c r="E128" s="12">
        <v>78.32</v>
      </c>
      <c r="F128" s="12">
        <f t="shared" si="5"/>
        <v>76.192</v>
      </c>
      <c r="G128" s="14"/>
    </row>
    <row r="129" ht="40.05" customHeight="1" spans="1:7">
      <c r="A129" s="15" t="s">
        <v>62</v>
      </c>
      <c r="B129" s="15" t="s">
        <v>63</v>
      </c>
      <c r="C129" s="16" t="str">
        <f>"20190104410"</f>
        <v>20190104410</v>
      </c>
      <c r="D129" s="12">
        <v>73</v>
      </c>
      <c r="E129" s="12">
        <v>80.82</v>
      </c>
      <c r="F129" s="12">
        <f t="shared" si="5"/>
        <v>77.692</v>
      </c>
      <c r="G129" s="14" t="s">
        <v>11</v>
      </c>
    </row>
    <row r="130" ht="40.05" customHeight="1" spans="1:7">
      <c r="A130" s="15" t="s">
        <v>62</v>
      </c>
      <c r="B130" s="15" t="s">
        <v>63</v>
      </c>
      <c r="C130" s="16" t="str">
        <f>"20190104409"</f>
        <v>20190104409</v>
      </c>
      <c r="D130" s="12">
        <v>68.5</v>
      </c>
      <c r="E130" s="12">
        <v>83</v>
      </c>
      <c r="F130" s="12">
        <f t="shared" si="5"/>
        <v>77.2</v>
      </c>
      <c r="G130" s="14" t="s">
        <v>11</v>
      </c>
    </row>
    <row r="131" ht="40.05" customHeight="1" spans="1:7">
      <c r="A131" s="15" t="s">
        <v>62</v>
      </c>
      <c r="B131" s="15" t="s">
        <v>63</v>
      </c>
      <c r="C131" s="16" t="str">
        <f>"20190104406"</f>
        <v>20190104406</v>
      </c>
      <c r="D131" s="12">
        <v>70.5</v>
      </c>
      <c r="E131" s="12">
        <v>72.76</v>
      </c>
      <c r="F131" s="12">
        <f t="shared" si="5"/>
        <v>71.856</v>
      </c>
      <c r="G131" s="14"/>
    </row>
    <row r="132" ht="40.05" customHeight="1" spans="1:7">
      <c r="A132" s="15" t="s">
        <v>62</v>
      </c>
      <c r="B132" s="15" t="s">
        <v>63</v>
      </c>
      <c r="C132" s="16" t="str">
        <f>"20190104407"</f>
        <v>20190104407</v>
      </c>
      <c r="D132" s="12">
        <v>59</v>
      </c>
      <c r="E132" s="12">
        <v>77.68</v>
      </c>
      <c r="F132" s="12">
        <f t="shared" si="5"/>
        <v>70.208</v>
      </c>
      <c r="G132" s="14"/>
    </row>
    <row r="133" ht="40.05" customHeight="1" spans="1:7">
      <c r="A133" s="15" t="s">
        <v>62</v>
      </c>
      <c r="B133" s="15" t="s">
        <v>63</v>
      </c>
      <c r="C133" s="16" t="str">
        <f>"20190104405"</f>
        <v>20190104405</v>
      </c>
      <c r="D133" s="12">
        <v>57.5</v>
      </c>
      <c r="E133" s="12">
        <v>73.52</v>
      </c>
      <c r="F133" s="12">
        <f t="shared" si="5"/>
        <v>67.112</v>
      </c>
      <c r="G133" s="14"/>
    </row>
    <row r="134" ht="40.05" customHeight="1" spans="1:7">
      <c r="A134" s="15" t="s">
        <v>62</v>
      </c>
      <c r="B134" s="15" t="s">
        <v>64</v>
      </c>
      <c r="C134" s="16" t="str">
        <f>"20190104507"</f>
        <v>20190104507</v>
      </c>
      <c r="D134" s="12">
        <v>76</v>
      </c>
      <c r="E134" s="12">
        <v>77.42</v>
      </c>
      <c r="F134" s="12">
        <f t="shared" si="5"/>
        <v>76.852</v>
      </c>
      <c r="G134" s="14" t="s">
        <v>11</v>
      </c>
    </row>
    <row r="135" ht="40.05" customHeight="1" spans="1:7">
      <c r="A135" s="15" t="s">
        <v>62</v>
      </c>
      <c r="B135" s="15" t="s">
        <v>64</v>
      </c>
      <c r="C135" s="16" t="str">
        <f>"20190104506"</f>
        <v>20190104506</v>
      </c>
      <c r="D135" s="12">
        <v>73</v>
      </c>
      <c r="E135" s="12">
        <v>76.32</v>
      </c>
      <c r="F135" s="12">
        <f t="shared" si="5"/>
        <v>74.992</v>
      </c>
      <c r="G135" s="14"/>
    </row>
    <row r="136" ht="40.05" customHeight="1" spans="1:7">
      <c r="A136" s="15" t="s">
        <v>62</v>
      </c>
      <c r="B136" s="15" t="s">
        <v>64</v>
      </c>
      <c r="C136" s="16" t="str">
        <f>"20190104428"</f>
        <v>20190104428</v>
      </c>
      <c r="D136" s="12">
        <v>72.5</v>
      </c>
      <c r="E136" s="12">
        <v>68.56</v>
      </c>
      <c r="F136" s="12">
        <f t="shared" si="5"/>
        <v>70.136</v>
      </c>
      <c r="G136" s="14"/>
    </row>
    <row r="137" ht="40.05" customHeight="1" spans="1:7">
      <c r="A137" s="15" t="s">
        <v>62</v>
      </c>
      <c r="B137" s="15" t="s">
        <v>65</v>
      </c>
      <c r="C137" s="16" t="str">
        <f>"20190105003"</f>
        <v>20190105003</v>
      </c>
      <c r="D137" s="12">
        <v>79</v>
      </c>
      <c r="E137" s="12">
        <v>82.02</v>
      </c>
      <c r="F137" s="12">
        <f t="shared" si="5"/>
        <v>80.812</v>
      </c>
      <c r="G137" s="14" t="s">
        <v>11</v>
      </c>
    </row>
    <row r="138" ht="40.05" customHeight="1" spans="1:7">
      <c r="A138" s="15" t="s">
        <v>62</v>
      </c>
      <c r="B138" s="15" t="s">
        <v>65</v>
      </c>
      <c r="C138" s="16" t="str">
        <f>"20190105614"</f>
        <v>20190105614</v>
      </c>
      <c r="D138" s="12">
        <v>76.5</v>
      </c>
      <c r="E138" s="12">
        <v>83</v>
      </c>
      <c r="F138" s="12">
        <f t="shared" si="5"/>
        <v>80.4</v>
      </c>
      <c r="G138" s="14" t="s">
        <v>11</v>
      </c>
    </row>
    <row r="139" ht="40.05" customHeight="1" spans="1:7">
      <c r="A139" s="15" t="s">
        <v>62</v>
      </c>
      <c r="B139" s="15" t="s">
        <v>65</v>
      </c>
      <c r="C139" s="16" t="str">
        <f>"20190105215"</f>
        <v>20190105215</v>
      </c>
      <c r="D139" s="12">
        <v>75</v>
      </c>
      <c r="E139" s="12">
        <v>83.46</v>
      </c>
      <c r="F139" s="12">
        <f t="shared" si="5"/>
        <v>80.076</v>
      </c>
      <c r="G139" s="14" t="s">
        <v>11</v>
      </c>
    </row>
    <row r="140" ht="40.05" customHeight="1" spans="1:7">
      <c r="A140" s="15" t="s">
        <v>62</v>
      </c>
      <c r="B140" s="15" t="s">
        <v>65</v>
      </c>
      <c r="C140" s="16" t="str">
        <f>"20190104705"</f>
        <v>20190104705</v>
      </c>
      <c r="D140" s="12">
        <v>78.5</v>
      </c>
      <c r="E140" s="12">
        <v>79.44</v>
      </c>
      <c r="F140" s="12">
        <f t="shared" si="5"/>
        <v>79.064</v>
      </c>
      <c r="G140" s="14" t="s">
        <v>11</v>
      </c>
    </row>
    <row r="141" ht="40.05" customHeight="1" spans="1:7">
      <c r="A141" s="15" t="s">
        <v>62</v>
      </c>
      <c r="B141" s="15" t="s">
        <v>65</v>
      </c>
      <c r="C141" s="16" t="str">
        <f>"20190105009"</f>
        <v>20190105009</v>
      </c>
      <c r="D141" s="12">
        <v>76.5</v>
      </c>
      <c r="E141" s="12">
        <v>80.62</v>
      </c>
      <c r="F141" s="12">
        <f t="shared" si="5"/>
        <v>78.972</v>
      </c>
      <c r="G141" s="14" t="s">
        <v>11</v>
      </c>
    </row>
    <row r="142" ht="40.05" customHeight="1" spans="1:7">
      <c r="A142" s="15" t="s">
        <v>62</v>
      </c>
      <c r="B142" s="15" t="s">
        <v>65</v>
      </c>
      <c r="C142" s="16" t="str">
        <f>"20190104903"</f>
        <v>20190104903</v>
      </c>
      <c r="D142" s="12">
        <v>79</v>
      </c>
      <c r="E142" s="12">
        <v>78.7</v>
      </c>
      <c r="F142" s="12">
        <f t="shared" si="5"/>
        <v>78.82</v>
      </c>
      <c r="G142" s="14" t="s">
        <v>11</v>
      </c>
    </row>
    <row r="143" ht="40.05" customHeight="1" spans="1:7">
      <c r="A143" s="15" t="s">
        <v>62</v>
      </c>
      <c r="B143" s="15" t="s">
        <v>65</v>
      </c>
      <c r="C143" s="16" t="str">
        <f>"20190105127"</f>
        <v>20190105127</v>
      </c>
      <c r="D143" s="12">
        <v>74.5</v>
      </c>
      <c r="E143" s="12">
        <v>81</v>
      </c>
      <c r="F143" s="12">
        <f t="shared" si="5"/>
        <v>78.4</v>
      </c>
      <c r="G143" s="14" t="s">
        <v>11</v>
      </c>
    </row>
    <row r="144" ht="40.05" customHeight="1" spans="1:7">
      <c r="A144" s="15" t="s">
        <v>62</v>
      </c>
      <c r="B144" s="15" t="s">
        <v>65</v>
      </c>
      <c r="C144" s="16" t="str">
        <f>"20190106307"</f>
        <v>20190106307</v>
      </c>
      <c r="D144" s="12">
        <v>76</v>
      </c>
      <c r="E144" s="12">
        <v>79.04</v>
      </c>
      <c r="F144" s="12">
        <f t="shared" si="5"/>
        <v>77.824</v>
      </c>
      <c r="G144" s="14" t="s">
        <v>11</v>
      </c>
    </row>
    <row r="145" ht="40.05" customHeight="1" spans="1:7">
      <c r="A145" s="15" t="s">
        <v>62</v>
      </c>
      <c r="B145" s="15" t="s">
        <v>65</v>
      </c>
      <c r="C145" s="16" t="str">
        <f>"20190105912"</f>
        <v>20190105912</v>
      </c>
      <c r="D145" s="12">
        <v>75</v>
      </c>
      <c r="E145" s="12">
        <v>79.52</v>
      </c>
      <c r="F145" s="12">
        <f t="shared" si="5"/>
        <v>77.712</v>
      </c>
      <c r="G145" s="14" t="s">
        <v>11</v>
      </c>
    </row>
    <row r="146" ht="40.05" customHeight="1" spans="1:7">
      <c r="A146" s="15" t="s">
        <v>62</v>
      </c>
      <c r="B146" s="15" t="s">
        <v>65</v>
      </c>
      <c r="C146" s="16" t="str">
        <f>"20190105520"</f>
        <v>20190105520</v>
      </c>
      <c r="D146" s="12">
        <v>75</v>
      </c>
      <c r="E146" s="12">
        <v>79.5</v>
      </c>
      <c r="F146" s="12">
        <f t="shared" si="5"/>
        <v>77.7</v>
      </c>
      <c r="G146" s="14" t="s">
        <v>11</v>
      </c>
    </row>
    <row r="147" ht="40.05" customHeight="1" spans="1:7">
      <c r="A147" s="15" t="s">
        <v>62</v>
      </c>
      <c r="B147" s="15" t="s">
        <v>65</v>
      </c>
      <c r="C147" s="16" t="str">
        <f>"20190105913"</f>
        <v>20190105913</v>
      </c>
      <c r="D147" s="12">
        <v>75.5</v>
      </c>
      <c r="E147" s="12">
        <v>79.06</v>
      </c>
      <c r="F147" s="12">
        <f t="shared" si="5"/>
        <v>77.636</v>
      </c>
      <c r="G147" s="14"/>
    </row>
    <row r="148" ht="40.05" customHeight="1" spans="1:7">
      <c r="A148" s="15" t="s">
        <v>62</v>
      </c>
      <c r="B148" s="15" t="s">
        <v>65</v>
      </c>
      <c r="C148" s="16" t="str">
        <f>"20190104811"</f>
        <v>20190104811</v>
      </c>
      <c r="D148" s="12">
        <v>74.5</v>
      </c>
      <c r="E148" s="12">
        <v>79.68</v>
      </c>
      <c r="F148" s="12">
        <f t="shared" si="5"/>
        <v>77.608</v>
      </c>
      <c r="G148" s="14"/>
    </row>
    <row r="149" ht="40.05" customHeight="1" spans="1:7">
      <c r="A149" s="15" t="s">
        <v>62</v>
      </c>
      <c r="B149" s="15" t="s">
        <v>65</v>
      </c>
      <c r="C149" s="16" t="str">
        <f>"20190106222"</f>
        <v>20190106222</v>
      </c>
      <c r="D149" s="12">
        <v>76.5</v>
      </c>
      <c r="E149" s="12">
        <v>78.34</v>
      </c>
      <c r="F149" s="12">
        <f t="shared" si="5"/>
        <v>77.604</v>
      </c>
      <c r="G149" s="14"/>
    </row>
    <row r="150" ht="40.05" customHeight="1" spans="1:7">
      <c r="A150" s="15" t="s">
        <v>62</v>
      </c>
      <c r="B150" s="15" t="s">
        <v>65</v>
      </c>
      <c r="C150" s="16" t="str">
        <f>"20190105904"</f>
        <v>20190105904</v>
      </c>
      <c r="D150" s="12">
        <v>74.5</v>
      </c>
      <c r="E150" s="12">
        <v>79.52</v>
      </c>
      <c r="F150" s="12">
        <f t="shared" si="5"/>
        <v>77.512</v>
      </c>
      <c r="G150" s="14"/>
    </row>
    <row r="151" ht="40.05" customHeight="1" spans="1:7">
      <c r="A151" s="15" t="s">
        <v>62</v>
      </c>
      <c r="B151" s="15" t="s">
        <v>65</v>
      </c>
      <c r="C151" s="16" t="str">
        <f>"20190105123"</f>
        <v>20190105123</v>
      </c>
      <c r="D151" s="12">
        <v>74.5</v>
      </c>
      <c r="E151" s="12">
        <v>79.5</v>
      </c>
      <c r="F151" s="12">
        <f t="shared" si="5"/>
        <v>77.5</v>
      </c>
      <c r="G151" s="14"/>
    </row>
    <row r="152" ht="40.05" customHeight="1" spans="1:7">
      <c r="A152" s="15" t="s">
        <v>62</v>
      </c>
      <c r="B152" s="15" t="s">
        <v>65</v>
      </c>
      <c r="C152" s="16" t="str">
        <f>"20190105628"</f>
        <v>20190105628</v>
      </c>
      <c r="D152" s="12">
        <v>78</v>
      </c>
      <c r="E152" s="12">
        <v>76.8</v>
      </c>
      <c r="F152" s="12">
        <f t="shared" si="5"/>
        <v>77.28</v>
      </c>
      <c r="G152" s="14"/>
    </row>
    <row r="153" ht="40.05" customHeight="1" spans="1:7">
      <c r="A153" s="15" t="s">
        <v>62</v>
      </c>
      <c r="B153" s="15" t="s">
        <v>65</v>
      </c>
      <c r="C153" s="16" t="str">
        <f>"20190105230"</f>
        <v>20190105230</v>
      </c>
      <c r="D153" s="12">
        <v>76</v>
      </c>
      <c r="E153" s="12">
        <v>78.06</v>
      </c>
      <c r="F153" s="12">
        <f t="shared" si="5"/>
        <v>77.236</v>
      </c>
      <c r="G153" s="14"/>
    </row>
    <row r="154" ht="40.05" customHeight="1" spans="1:7">
      <c r="A154" s="15" t="s">
        <v>62</v>
      </c>
      <c r="B154" s="15" t="s">
        <v>65</v>
      </c>
      <c r="C154" s="16" t="str">
        <f>"20190105228"</f>
        <v>20190105228</v>
      </c>
      <c r="D154" s="12">
        <v>74.5</v>
      </c>
      <c r="E154" s="12">
        <v>79.02</v>
      </c>
      <c r="F154" s="12">
        <f t="shared" si="5"/>
        <v>77.212</v>
      </c>
      <c r="G154" s="14"/>
    </row>
    <row r="155" ht="40.05" customHeight="1" spans="1:7">
      <c r="A155" s="15" t="s">
        <v>62</v>
      </c>
      <c r="B155" s="15" t="s">
        <v>65</v>
      </c>
      <c r="C155" s="16" t="str">
        <f>"20190106607"</f>
        <v>20190106607</v>
      </c>
      <c r="D155" s="12">
        <v>75</v>
      </c>
      <c r="E155" s="12">
        <v>78.32</v>
      </c>
      <c r="F155" s="12">
        <f t="shared" si="5"/>
        <v>76.992</v>
      </c>
      <c r="G155" s="14"/>
    </row>
    <row r="156" ht="40.05" customHeight="1" spans="1:7">
      <c r="A156" s="15" t="s">
        <v>62</v>
      </c>
      <c r="B156" s="15" t="s">
        <v>65</v>
      </c>
      <c r="C156" s="16" t="str">
        <f>"20190105630"</f>
        <v>20190105630</v>
      </c>
      <c r="D156" s="12">
        <v>75.5</v>
      </c>
      <c r="E156" s="12">
        <v>77.82</v>
      </c>
      <c r="F156" s="12">
        <f t="shared" si="5"/>
        <v>76.892</v>
      </c>
      <c r="G156" s="14"/>
    </row>
    <row r="157" ht="40.05" customHeight="1" spans="1:7">
      <c r="A157" s="15" t="s">
        <v>62</v>
      </c>
      <c r="B157" s="15" t="s">
        <v>65</v>
      </c>
      <c r="C157" s="16" t="str">
        <f>"20190104525"</f>
        <v>20190104525</v>
      </c>
      <c r="D157" s="12">
        <v>74.5</v>
      </c>
      <c r="E157" s="12">
        <v>78.18</v>
      </c>
      <c r="F157" s="12">
        <f t="shared" si="5"/>
        <v>76.708</v>
      </c>
      <c r="G157" s="14"/>
    </row>
    <row r="158" ht="40.05" customHeight="1" spans="1:7">
      <c r="A158" s="15" t="s">
        <v>62</v>
      </c>
      <c r="B158" s="15" t="s">
        <v>65</v>
      </c>
      <c r="C158" s="16" t="str">
        <f>"20190106418"</f>
        <v>20190106418</v>
      </c>
      <c r="D158" s="12">
        <v>75</v>
      </c>
      <c r="E158" s="12">
        <v>76.48</v>
      </c>
      <c r="F158" s="12">
        <f t="shared" si="5"/>
        <v>75.888</v>
      </c>
      <c r="G158" s="14"/>
    </row>
    <row r="159" ht="40.05" customHeight="1" spans="1:7">
      <c r="A159" s="15" t="s">
        <v>62</v>
      </c>
      <c r="B159" s="15" t="s">
        <v>65</v>
      </c>
      <c r="C159" s="16" t="str">
        <f>"20190105004"</f>
        <v>20190105004</v>
      </c>
      <c r="D159" s="12">
        <v>74.5</v>
      </c>
      <c r="E159" s="12">
        <v>76.58</v>
      </c>
      <c r="F159" s="12">
        <f t="shared" si="5"/>
        <v>75.748</v>
      </c>
      <c r="G159" s="14"/>
    </row>
    <row r="160" ht="40.05" customHeight="1" spans="1:7">
      <c r="A160" s="15" t="s">
        <v>62</v>
      </c>
      <c r="B160" s="15" t="s">
        <v>65</v>
      </c>
      <c r="C160" s="16" t="str">
        <f>"20190105719"</f>
        <v>20190105719</v>
      </c>
      <c r="D160" s="12">
        <v>74.5</v>
      </c>
      <c r="E160" s="12">
        <v>69.22</v>
      </c>
      <c r="F160" s="12">
        <f t="shared" si="5"/>
        <v>71.332</v>
      </c>
      <c r="G160" s="14"/>
    </row>
    <row r="161" ht="40.05" customHeight="1" spans="1:7">
      <c r="A161" s="15" t="s">
        <v>62</v>
      </c>
      <c r="B161" s="15" t="s">
        <v>66</v>
      </c>
      <c r="C161" s="16" t="str">
        <f>"20190106713"</f>
        <v>20190106713</v>
      </c>
      <c r="D161" s="12">
        <v>79</v>
      </c>
      <c r="E161" s="12">
        <v>80.5</v>
      </c>
      <c r="F161" s="12">
        <f t="shared" si="5"/>
        <v>79.9</v>
      </c>
      <c r="G161" s="14" t="s">
        <v>11</v>
      </c>
    </row>
    <row r="162" ht="40.05" customHeight="1" spans="1:7">
      <c r="A162" s="15" t="s">
        <v>62</v>
      </c>
      <c r="B162" s="15" t="s">
        <v>66</v>
      </c>
      <c r="C162" s="16" t="str">
        <f>"20190106714"</f>
        <v>20190106714</v>
      </c>
      <c r="D162" s="12">
        <v>74.5</v>
      </c>
      <c r="E162" s="12">
        <v>80.74</v>
      </c>
      <c r="F162" s="12">
        <f t="shared" si="5"/>
        <v>78.244</v>
      </c>
      <c r="G162" s="14"/>
    </row>
    <row r="163" ht="40.05" customHeight="1" spans="1:7">
      <c r="A163" s="15" t="s">
        <v>62</v>
      </c>
      <c r="B163" s="15" t="s">
        <v>66</v>
      </c>
      <c r="C163" s="16" t="str">
        <f>"20190106709"</f>
        <v>20190106709</v>
      </c>
      <c r="D163" s="12">
        <v>72</v>
      </c>
      <c r="E163" s="12">
        <v>79.86</v>
      </c>
      <c r="F163" s="12">
        <f t="shared" si="5"/>
        <v>76.716</v>
      </c>
      <c r="G163" s="14"/>
    </row>
    <row r="164" ht="40.05" customHeight="1" spans="1:7">
      <c r="A164" s="15" t="s">
        <v>62</v>
      </c>
      <c r="B164" s="15" t="s">
        <v>67</v>
      </c>
      <c r="C164" s="16" t="str">
        <f>"20190106911"</f>
        <v>20190106911</v>
      </c>
      <c r="D164" s="12">
        <v>74</v>
      </c>
      <c r="E164" s="12">
        <v>82.88</v>
      </c>
      <c r="F164" s="12">
        <f t="shared" si="5"/>
        <v>79.328</v>
      </c>
      <c r="G164" s="14" t="s">
        <v>11</v>
      </c>
    </row>
    <row r="165" ht="40.05" customHeight="1" spans="1:7">
      <c r="A165" s="15" t="s">
        <v>62</v>
      </c>
      <c r="B165" s="15" t="s">
        <v>67</v>
      </c>
      <c r="C165" s="16" t="str">
        <f>"20190106826"</f>
        <v>20190106826</v>
      </c>
      <c r="D165" s="12">
        <v>74</v>
      </c>
      <c r="E165" s="12">
        <v>80.9</v>
      </c>
      <c r="F165" s="12">
        <f t="shared" si="5"/>
        <v>78.14</v>
      </c>
      <c r="G165" s="14"/>
    </row>
    <row r="166" ht="40.05" customHeight="1" spans="1:7">
      <c r="A166" s="15" t="s">
        <v>62</v>
      </c>
      <c r="B166" s="15" t="s">
        <v>67</v>
      </c>
      <c r="C166" s="16" t="str">
        <f>"20190106827"</f>
        <v>20190106827</v>
      </c>
      <c r="D166" s="12">
        <v>73.5</v>
      </c>
      <c r="E166" s="12">
        <v>76.08</v>
      </c>
      <c r="F166" s="12">
        <f t="shared" si="5"/>
        <v>75.048</v>
      </c>
      <c r="G166" s="14"/>
    </row>
    <row r="167" ht="40.05" customHeight="1" spans="1:7">
      <c r="A167" s="15" t="s">
        <v>62</v>
      </c>
      <c r="B167" s="15" t="s">
        <v>10</v>
      </c>
      <c r="C167" s="16" t="str">
        <f>"20190107009"</f>
        <v>20190107009</v>
      </c>
      <c r="D167" s="12">
        <v>78</v>
      </c>
      <c r="E167" s="12">
        <v>84.96</v>
      </c>
      <c r="F167" s="12">
        <f t="shared" si="5"/>
        <v>82.176</v>
      </c>
      <c r="G167" s="14" t="s">
        <v>11</v>
      </c>
    </row>
    <row r="168" ht="40.05" customHeight="1" spans="1:7">
      <c r="A168" s="15" t="s">
        <v>62</v>
      </c>
      <c r="B168" s="15" t="s">
        <v>10</v>
      </c>
      <c r="C168" s="16" t="str">
        <f>"20190107329"</f>
        <v>20190107329</v>
      </c>
      <c r="D168" s="12">
        <v>75.5</v>
      </c>
      <c r="E168" s="12">
        <v>84.98</v>
      </c>
      <c r="F168" s="12">
        <f t="shared" si="5"/>
        <v>81.188</v>
      </c>
      <c r="G168" s="14" t="s">
        <v>11</v>
      </c>
    </row>
    <row r="169" ht="40.05" customHeight="1" spans="1:7">
      <c r="A169" s="15" t="s">
        <v>62</v>
      </c>
      <c r="B169" s="15" t="s">
        <v>10</v>
      </c>
      <c r="C169" s="16" t="str">
        <f>"20190107728"</f>
        <v>20190107728</v>
      </c>
      <c r="D169" s="12">
        <v>78</v>
      </c>
      <c r="E169" s="12">
        <v>82.68</v>
      </c>
      <c r="F169" s="12">
        <f t="shared" si="5"/>
        <v>80.808</v>
      </c>
      <c r="G169" s="14" t="s">
        <v>11</v>
      </c>
    </row>
    <row r="170" ht="40.05" customHeight="1" spans="1:7">
      <c r="A170" s="15" t="s">
        <v>62</v>
      </c>
      <c r="B170" s="15" t="s">
        <v>10</v>
      </c>
      <c r="C170" s="16" t="str">
        <f>"20190107128"</f>
        <v>20190107128</v>
      </c>
      <c r="D170" s="12">
        <v>78</v>
      </c>
      <c r="E170" s="12">
        <v>79.48</v>
      </c>
      <c r="F170" s="12">
        <f t="shared" si="5"/>
        <v>78.888</v>
      </c>
      <c r="G170" s="14"/>
    </row>
    <row r="171" ht="40.05" customHeight="1" spans="1:7">
      <c r="A171" s="15" t="s">
        <v>62</v>
      </c>
      <c r="B171" s="15" t="s">
        <v>10</v>
      </c>
      <c r="C171" s="16" t="str">
        <f>"20190107722"</f>
        <v>20190107722</v>
      </c>
      <c r="D171" s="12">
        <v>77</v>
      </c>
      <c r="E171" s="12">
        <v>80.08</v>
      </c>
      <c r="F171" s="12">
        <f t="shared" si="5"/>
        <v>78.848</v>
      </c>
      <c r="G171" s="14"/>
    </row>
    <row r="172" ht="40.05" customHeight="1" spans="1:7">
      <c r="A172" s="15" t="s">
        <v>62</v>
      </c>
      <c r="B172" s="15" t="s">
        <v>10</v>
      </c>
      <c r="C172" s="16" t="str">
        <f>"20190107127"</f>
        <v>20190107127</v>
      </c>
      <c r="D172" s="12">
        <v>77</v>
      </c>
      <c r="E172" s="12">
        <v>77.44</v>
      </c>
      <c r="F172" s="12">
        <f t="shared" si="5"/>
        <v>77.264</v>
      </c>
      <c r="G172" s="14"/>
    </row>
    <row r="173" ht="40.05" customHeight="1" spans="1:7">
      <c r="A173" s="15" t="s">
        <v>62</v>
      </c>
      <c r="B173" s="15" t="s">
        <v>10</v>
      </c>
      <c r="C173" s="16" t="str">
        <f>"20190107906"</f>
        <v>20190107906</v>
      </c>
      <c r="D173" s="12">
        <v>75.5</v>
      </c>
      <c r="E173" s="12">
        <v>78.28</v>
      </c>
      <c r="F173" s="12">
        <f t="shared" si="5"/>
        <v>77.168</v>
      </c>
      <c r="G173" s="14"/>
    </row>
    <row r="174" ht="40.05" customHeight="1" spans="1:7">
      <c r="A174" s="15" t="s">
        <v>62</v>
      </c>
      <c r="B174" s="15" t="s">
        <v>10</v>
      </c>
      <c r="C174" s="16" t="str">
        <f>"20190107419"</f>
        <v>20190107419</v>
      </c>
      <c r="D174" s="12">
        <v>75</v>
      </c>
      <c r="E174" s="12">
        <v>78.34</v>
      </c>
      <c r="F174" s="12">
        <f t="shared" si="5"/>
        <v>77.004</v>
      </c>
      <c r="G174" s="14"/>
    </row>
    <row r="175" ht="40.05" customHeight="1" spans="1:7">
      <c r="A175" s="15" t="s">
        <v>62</v>
      </c>
      <c r="B175" s="15" t="s">
        <v>10</v>
      </c>
      <c r="C175" s="16" t="str">
        <f>"20190106923"</f>
        <v>20190106923</v>
      </c>
      <c r="D175" s="12">
        <v>75</v>
      </c>
      <c r="E175" s="12">
        <v>78.3</v>
      </c>
      <c r="F175" s="12">
        <f t="shared" si="5"/>
        <v>76.98</v>
      </c>
      <c r="G175" s="14"/>
    </row>
    <row r="176" ht="40.05" customHeight="1" spans="1:7">
      <c r="A176" s="15" t="s">
        <v>62</v>
      </c>
      <c r="B176" s="15" t="s">
        <v>10</v>
      </c>
      <c r="C176" s="16" t="str">
        <f>"20190106921"</f>
        <v>20190106921</v>
      </c>
      <c r="D176" s="12">
        <v>75</v>
      </c>
      <c r="E176" s="12">
        <v>71.48</v>
      </c>
      <c r="F176" s="12">
        <f t="shared" si="5"/>
        <v>72.888</v>
      </c>
      <c r="G176" s="14"/>
    </row>
    <row r="177" ht="40.05" customHeight="1" spans="1:7">
      <c r="A177" s="9" t="s">
        <v>68</v>
      </c>
      <c r="B177" s="10" t="s">
        <v>69</v>
      </c>
      <c r="C177" s="11" t="str">
        <f>"20190113702"</f>
        <v>20190113702</v>
      </c>
      <c r="D177" s="12">
        <v>76</v>
      </c>
      <c r="E177" s="12">
        <v>80.22</v>
      </c>
      <c r="F177" s="12">
        <f t="shared" si="5"/>
        <v>78.532</v>
      </c>
      <c r="G177" s="14" t="s">
        <v>11</v>
      </c>
    </row>
    <row r="178" ht="40.05" customHeight="1" spans="1:7">
      <c r="A178" s="9" t="s">
        <v>68</v>
      </c>
      <c r="B178" s="10" t="s">
        <v>69</v>
      </c>
      <c r="C178" s="11" t="str">
        <f>"20190114222"</f>
        <v>20190114222</v>
      </c>
      <c r="D178" s="12">
        <v>73.5</v>
      </c>
      <c r="E178" s="12">
        <v>81.58</v>
      </c>
      <c r="F178" s="12">
        <f t="shared" si="5"/>
        <v>78.348</v>
      </c>
      <c r="G178" s="14"/>
    </row>
    <row r="179" ht="40.05" customHeight="1" spans="1:7">
      <c r="A179" s="9" t="s">
        <v>68</v>
      </c>
      <c r="B179" s="10" t="s">
        <v>69</v>
      </c>
      <c r="C179" s="11" t="str">
        <f>"20190113825"</f>
        <v>20190113825</v>
      </c>
      <c r="D179" s="12">
        <v>73</v>
      </c>
      <c r="E179" s="12">
        <v>79.32</v>
      </c>
      <c r="F179" s="12">
        <f t="shared" si="5"/>
        <v>76.792</v>
      </c>
      <c r="G179" s="14"/>
    </row>
    <row r="180" ht="40.05" customHeight="1" spans="1:7">
      <c r="A180" s="9" t="s">
        <v>70</v>
      </c>
      <c r="B180" s="10" t="s">
        <v>71</v>
      </c>
      <c r="C180" s="11" t="str">
        <f>"20190114917"</f>
        <v>20190114917</v>
      </c>
      <c r="D180" s="12">
        <v>69</v>
      </c>
      <c r="E180" s="12">
        <v>80.88</v>
      </c>
      <c r="F180" s="12">
        <f t="shared" si="5"/>
        <v>76.128</v>
      </c>
      <c r="G180" s="14" t="s">
        <v>11</v>
      </c>
    </row>
    <row r="181" ht="40.05" customHeight="1" spans="1:7">
      <c r="A181" s="9" t="s">
        <v>70</v>
      </c>
      <c r="B181" s="10" t="s">
        <v>71</v>
      </c>
      <c r="C181" s="11" t="str">
        <f>"20190114809"</f>
        <v>20190114809</v>
      </c>
      <c r="D181" s="12">
        <v>70</v>
      </c>
      <c r="E181" s="12">
        <v>79.94</v>
      </c>
      <c r="F181" s="12">
        <f t="shared" si="5"/>
        <v>75.964</v>
      </c>
      <c r="G181" s="14"/>
    </row>
    <row r="182" ht="40.05" customHeight="1" spans="1:7">
      <c r="A182" s="9" t="s">
        <v>70</v>
      </c>
      <c r="B182" s="10" t="s">
        <v>71</v>
      </c>
      <c r="C182" s="11" t="str">
        <f>"20190114829"</f>
        <v>20190114829</v>
      </c>
      <c r="D182" s="12">
        <v>69</v>
      </c>
      <c r="E182" s="12">
        <v>79.94</v>
      </c>
      <c r="F182" s="12">
        <f t="shared" si="5"/>
        <v>75.564</v>
      </c>
      <c r="G182" s="14"/>
    </row>
    <row r="183" ht="40.05" customHeight="1" spans="1:7">
      <c r="A183" s="9" t="s">
        <v>70</v>
      </c>
      <c r="B183" s="10" t="s">
        <v>71</v>
      </c>
      <c r="C183" s="11" t="str">
        <f>"20190114704"</f>
        <v>20190114704</v>
      </c>
      <c r="D183" s="12">
        <v>70.5</v>
      </c>
      <c r="E183" s="12">
        <v>77.02</v>
      </c>
      <c r="F183" s="12">
        <f t="shared" si="5"/>
        <v>74.412</v>
      </c>
      <c r="G183" s="14"/>
    </row>
    <row r="184" ht="40.05" customHeight="1" spans="1:7">
      <c r="A184" s="15" t="s">
        <v>72</v>
      </c>
      <c r="B184" s="15" t="s">
        <v>40</v>
      </c>
      <c r="C184" s="16" t="str">
        <f>"20190108420"</f>
        <v>20190108420</v>
      </c>
      <c r="D184" s="12">
        <v>76</v>
      </c>
      <c r="E184" s="12">
        <v>82.04</v>
      </c>
      <c r="F184" s="12">
        <f t="shared" ref="F184:F209" si="6">D184*0.4+E184*0.6</f>
        <v>79.624</v>
      </c>
      <c r="G184" s="14" t="s">
        <v>11</v>
      </c>
    </row>
    <row r="185" ht="40.05" customHeight="1" spans="1:7">
      <c r="A185" s="15" t="s">
        <v>72</v>
      </c>
      <c r="B185" s="15" t="s">
        <v>40</v>
      </c>
      <c r="C185" s="16" t="str">
        <f>"20190108427"</f>
        <v>20190108427</v>
      </c>
      <c r="D185" s="12">
        <v>74</v>
      </c>
      <c r="E185" s="12">
        <v>76.04</v>
      </c>
      <c r="F185" s="12">
        <f t="shared" si="6"/>
        <v>75.224</v>
      </c>
      <c r="G185" s="14"/>
    </row>
    <row r="186" ht="40.05" customHeight="1" spans="1:7">
      <c r="A186" s="15" t="s">
        <v>72</v>
      </c>
      <c r="B186" s="15" t="s">
        <v>40</v>
      </c>
      <c r="C186" s="16" t="str">
        <f>"20190108618"</f>
        <v>20190108618</v>
      </c>
      <c r="D186" s="12">
        <v>73.5</v>
      </c>
      <c r="E186" s="12">
        <v>75.5</v>
      </c>
      <c r="F186" s="12">
        <f t="shared" si="6"/>
        <v>74.7</v>
      </c>
      <c r="G186" s="14"/>
    </row>
    <row r="187" ht="40.05" customHeight="1" spans="1:7">
      <c r="A187" s="9" t="s">
        <v>73</v>
      </c>
      <c r="B187" s="10" t="s">
        <v>71</v>
      </c>
      <c r="C187" s="11" t="str">
        <f>"20190115024"</f>
        <v>20190115024</v>
      </c>
      <c r="D187" s="12">
        <v>73</v>
      </c>
      <c r="E187" s="12">
        <v>80.26</v>
      </c>
      <c r="F187" s="12">
        <f t="shared" si="6"/>
        <v>77.356</v>
      </c>
      <c r="G187" s="14" t="s">
        <v>11</v>
      </c>
    </row>
    <row r="188" ht="40.05" customHeight="1" spans="1:7">
      <c r="A188" s="9" t="s">
        <v>73</v>
      </c>
      <c r="B188" s="10" t="s">
        <v>71</v>
      </c>
      <c r="C188" s="11" t="str">
        <f>"20190115113"</f>
        <v>20190115113</v>
      </c>
      <c r="D188" s="12">
        <v>72.5</v>
      </c>
      <c r="E188" s="12">
        <v>80.44</v>
      </c>
      <c r="F188" s="12">
        <f t="shared" si="6"/>
        <v>77.264</v>
      </c>
      <c r="G188" s="14"/>
    </row>
    <row r="189" ht="40.05" customHeight="1" spans="1:7">
      <c r="A189" s="9" t="s">
        <v>73</v>
      </c>
      <c r="B189" s="10" t="s">
        <v>71</v>
      </c>
      <c r="C189" s="11" t="str">
        <f>"20190115009"</f>
        <v>20190115009</v>
      </c>
      <c r="D189" s="12">
        <v>71.5</v>
      </c>
      <c r="E189" s="12">
        <v>77.22</v>
      </c>
      <c r="F189" s="12">
        <f t="shared" si="6"/>
        <v>74.932</v>
      </c>
      <c r="G189" s="14"/>
    </row>
    <row r="190" ht="40.05" customHeight="1" spans="1:7">
      <c r="A190" s="9" t="s">
        <v>74</v>
      </c>
      <c r="B190" s="10" t="s">
        <v>75</v>
      </c>
      <c r="C190" s="11" t="str">
        <f>"20190115423"</f>
        <v>20190115423</v>
      </c>
      <c r="D190" s="12">
        <v>67.5</v>
      </c>
      <c r="E190" s="12">
        <v>81.92</v>
      </c>
      <c r="F190" s="12">
        <f t="shared" si="6"/>
        <v>76.152</v>
      </c>
      <c r="G190" s="14" t="s">
        <v>11</v>
      </c>
    </row>
    <row r="191" ht="40.05" customHeight="1" spans="1:7">
      <c r="A191" s="9" t="s">
        <v>74</v>
      </c>
      <c r="B191" s="10" t="s">
        <v>75</v>
      </c>
      <c r="C191" s="11" t="str">
        <f>"20190115422"</f>
        <v>20190115422</v>
      </c>
      <c r="D191" s="12">
        <v>69</v>
      </c>
      <c r="E191" s="12">
        <v>80.52</v>
      </c>
      <c r="F191" s="12">
        <f t="shared" si="6"/>
        <v>75.912</v>
      </c>
      <c r="G191" s="14"/>
    </row>
    <row r="192" ht="40.05" customHeight="1" spans="1:8">
      <c r="A192" s="9" t="s">
        <v>74</v>
      </c>
      <c r="B192" s="10" t="s">
        <v>75</v>
      </c>
      <c r="C192" s="11" t="str">
        <f>"20190115424"</f>
        <v>20190115424</v>
      </c>
      <c r="D192" s="12">
        <v>55.5</v>
      </c>
      <c r="E192" s="12">
        <v>57.02</v>
      </c>
      <c r="F192" s="12">
        <f>D192*0.4+E192*0.6</f>
        <v>56.412</v>
      </c>
      <c r="G192" s="14"/>
      <c r="H192" s="2" t="s">
        <v>76</v>
      </c>
    </row>
    <row r="193" ht="40.05" customHeight="1" spans="1:7">
      <c r="A193" s="9" t="s">
        <v>77</v>
      </c>
      <c r="B193" s="10" t="s">
        <v>15</v>
      </c>
      <c r="C193" s="11" t="str">
        <f>"20190115502"</f>
        <v>20190115502</v>
      </c>
      <c r="D193" s="12">
        <v>67.5</v>
      </c>
      <c r="E193" s="12">
        <v>80.74</v>
      </c>
      <c r="F193" s="12">
        <f t="shared" si="6"/>
        <v>75.444</v>
      </c>
      <c r="G193" s="14" t="s">
        <v>11</v>
      </c>
    </row>
    <row r="194" ht="40.05" customHeight="1" spans="1:7">
      <c r="A194" s="9" t="s">
        <v>77</v>
      </c>
      <c r="B194" s="10" t="s">
        <v>15</v>
      </c>
      <c r="C194" s="11" t="str">
        <f>"20190115427"</f>
        <v>20190115427</v>
      </c>
      <c r="D194" s="12">
        <v>68.5</v>
      </c>
      <c r="E194" s="12">
        <v>79.22</v>
      </c>
      <c r="F194" s="12">
        <f t="shared" si="6"/>
        <v>74.932</v>
      </c>
      <c r="G194" s="14"/>
    </row>
    <row r="195" ht="40.05" customHeight="1" spans="1:7">
      <c r="A195" s="9" t="s">
        <v>77</v>
      </c>
      <c r="B195" s="10" t="s">
        <v>15</v>
      </c>
      <c r="C195" s="11" t="str">
        <f>"20190115430"</f>
        <v>20190115430</v>
      </c>
      <c r="D195" s="12">
        <v>64</v>
      </c>
      <c r="E195" s="12">
        <v>70.5</v>
      </c>
      <c r="F195" s="12">
        <f t="shared" si="6"/>
        <v>67.9</v>
      </c>
      <c r="G195" s="14"/>
    </row>
    <row r="196" ht="40.05" customHeight="1" spans="1:7">
      <c r="A196" s="9" t="s">
        <v>78</v>
      </c>
      <c r="B196" s="10" t="s">
        <v>26</v>
      </c>
      <c r="C196" s="11" t="str">
        <f>"20190115512"</f>
        <v>20190115512</v>
      </c>
      <c r="D196" s="12">
        <v>66.5</v>
      </c>
      <c r="E196" s="12">
        <v>78</v>
      </c>
      <c r="F196" s="12">
        <f t="shared" si="6"/>
        <v>73.4</v>
      </c>
      <c r="G196" s="14" t="s">
        <v>11</v>
      </c>
    </row>
    <row r="197" ht="40.05" customHeight="1" spans="1:7">
      <c r="A197" s="9" t="s">
        <v>78</v>
      </c>
      <c r="B197" s="10" t="s">
        <v>26</v>
      </c>
      <c r="C197" s="11" t="str">
        <f>"20190115523"</f>
        <v>20190115523</v>
      </c>
      <c r="D197" s="12">
        <v>67.5</v>
      </c>
      <c r="E197" s="12">
        <v>76.4</v>
      </c>
      <c r="F197" s="12">
        <f t="shared" si="6"/>
        <v>72.84</v>
      </c>
      <c r="G197" s="14"/>
    </row>
    <row r="198" ht="40.05" customHeight="1" spans="1:7">
      <c r="A198" s="9" t="s">
        <v>78</v>
      </c>
      <c r="B198" s="10" t="s">
        <v>26</v>
      </c>
      <c r="C198" s="11" t="str">
        <f>"20190115627"</f>
        <v>20190115627</v>
      </c>
      <c r="D198" s="12">
        <v>66</v>
      </c>
      <c r="E198" s="12">
        <v>76.52</v>
      </c>
      <c r="F198" s="12">
        <f t="shared" si="6"/>
        <v>72.312</v>
      </c>
      <c r="G198" s="17"/>
    </row>
    <row r="199" ht="40.05" customHeight="1" spans="1:7">
      <c r="A199" s="9" t="s">
        <v>78</v>
      </c>
      <c r="B199" s="10" t="s">
        <v>26</v>
      </c>
      <c r="C199" s="11" t="str">
        <f>"20190115708"</f>
        <v>20190115708</v>
      </c>
      <c r="D199" s="12">
        <v>66</v>
      </c>
      <c r="E199" s="12">
        <v>74.66</v>
      </c>
      <c r="F199" s="12">
        <f t="shared" si="6"/>
        <v>71.196</v>
      </c>
      <c r="G199" s="17"/>
    </row>
    <row r="200" ht="40.05" customHeight="1" spans="1:7">
      <c r="A200" s="9" t="s">
        <v>78</v>
      </c>
      <c r="B200" s="10" t="s">
        <v>79</v>
      </c>
      <c r="C200" s="11" t="str">
        <f>"20190115722"</f>
        <v>20190115722</v>
      </c>
      <c r="D200" s="12">
        <v>75.5</v>
      </c>
      <c r="E200" s="12">
        <v>75.62</v>
      </c>
      <c r="F200" s="12">
        <f t="shared" si="6"/>
        <v>75.572</v>
      </c>
      <c r="G200" s="14" t="s">
        <v>11</v>
      </c>
    </row>
    <row r="201" ht="40.05" customHeight="1" spans="1:7">
      <c r="A201" s="9" t="s">
        <v>78</v>
      </c>
      <c r="B201" s="10" t="s">
        <v>79</v>
      </c>
      <c r="C201" s="11" t="str">
        <f>"20190115724"</f>
        <v>20190115724</v>
      </c>
      <c r="D201" s="12">
        <v>65.5</v>
      </c>
      <c r="E201" s="12">
        <v>78.46</v>
      </c>
      <c r="F201" s="12">
        <f t="shared" si="6"/>
        <v>73.276</v>
      </c>
      <c r="G201" s="14"/>
    </row>
    <row r="202" ht="40.05" customHeight="1" spans="1:7">
      <c r="A202" s="9" t="s">
        <v>78</v>
      </c>
      <c r="B202" s="10" t="s">
        <v>80</v>
      </c>
      <c r="C202" s="11" t="str">
        <f>"20190115827"</f>
        <v>20190115827</v>
      </c>
      <c r="D202" s="12">
        <v>69</v>
      </c>
      <c r="E202" s="12">
        <v>76.72</v>
      </c>
      <c r="F202" s="12">
        <f t="shared" si="6"/>
        <v>73.632</v>
      </c>
      <c r="G202" s="14" t="s">
        <v>11</v>
      </c>
    </row>
    <row r="203" ht="40.05" customHeight="1" spans="1:7">
      <c r="A203" s="9" t="s">
        <v>78</v>
      </c>
      <c r="B203" s="10" t="s">
        <v>80</v>
      </c>
      <c r="C203" s="11" t="str">
        <f>"20190115828"</f>
        <v>20190115828</v>
      </c>
      <c r="D203" s="12">
        <v>67</v>
      </c>
      <c r="E203" s="12">
        <v>75.46</v>
      </c>
      <c r="F203" s="12">
        <f t="shared" si="6"/>
        <v>72.076</v>
      </c>
      <c r="G203" s="14"/>
    </row>
    <row r="204" ht="40.05" customHeight="1" spans="1:7">
      <c r="A204" s="9" t="s">
        <v>78</v>
      </c>
      <c r="B204" s="10" t="s">
        <v>80</v>
      </c>
      <c r="C204" s="11" t="str">
        <f>"20190115830"</f>
        <v>20190115830</v>
      </c>
      <c r="D204" s="12">
        <v>66</v>
      </c>
      <c r="E204" s="12">
        <v>75.46</v>
      </c>
      <c r="F204" s="12">
        <f t="shared" si="6"/>
        <v>71.676</v>
      </c>
      <c r="G204" s="14"/>
    </row>
    <row r="205" ht="40.05" customHeight="1" spans="1:7">
      <c r="A205" s="9" t="s">
        <v>78</v>
      </c>
      <c r="B205" s="10" t="s">
        <v>81</v>
      </c>
      <c r="C205" s="11" t="str">
        <f>"20190115908"</f>
        <v>20190115908</v>
      </c>
      <c r="D205" s="12">
        <v>71</v>
      </c>
      <c r="E205" s="12">
        <v>79.8</v>
      </c>
      <c r="F205" s="12">
        <f t="shared" si="6"/>
        <v>76.28</v>
      </c>
      <c r="G205" s="14" t="s">
        <v>11</v>
      </c>
    </row>
    <row r="206" ht="40.05" customHeight="1" spans="1:7">
      <c r="A206" s="9" t="s">
        <v>78</v>
      </c>
      <c r="B206" s="10" t="s">
        <v>81</v>
      </c>
      <c r="C206" s="11" t="str">
        <f>"20190115909"</f>
        <v>20190115909</v>
      </c>
      <c r="D206" s="12">
        <v>68.5</v>
      </c>
      <c r="E206" s="12">
        <v>80.86</v>
      </c>
      <c r="F206" s="12">
        <f t="shared" si="6"/>
        <v>75.916</v>
      </c>
      <c r="G206" s="14" t="s">
        <v>11</v>
      </c>
    </row>
    <row r="207" ht="40.05" customHeight="1" spans="1:7">
      <c r="A207" s="9" t="s">
        <v>78</v>
      </c>
      <c r="B207" s="10" t="s">
        <v>81</v>
      </c>
      <c r="C207" s="11" t="str">
        <f>"20190115917"</f>
        <v>20190115917</v>
      </c>
      <c r="D207" s="12">
        <v>69.5</v>
      </c>
      <c r="E207" s="12">
        <v>78.14</v>
      </c>
      <c r="F207" s="12">
        <f t="shared" si="6"/>
        <v>74.684</v>
      </c>
      <c r="G207" s="14"/>
    </row>
    <row r="208" ht="40.05" customHeight="1" spans="1:7">
      <c r="A208" s="9" t="s">
        <v>78</v>
      </c>
      <c r="B208" s="10" t="s">
        <v>81</v>
      </c>
      <c r="C208" s="11" t="str">
        <f>"20190115906"</f>
        <v>20190115906</v>
      </c>
      <c r="D208" s="12">
        <v>73</v>
      </c>
      <c r="E208" s="12">
        <v>75.42</v>
      </c>
      <c r="F208" s="12">
        <f t="shared" si="6"/>
        <v>74.452</v>
      </c>
      <c r="G208" s="14"/>
    </row>
    <row r="209" ht="40.05" customHeight="1" spans="1:7">
      <c r="A209" s="9" t="s">
        <v>78</v>
      </c>
      <c r="B209" s="10" t="s">
        <v>81</v>
      </c>
      <c r="C209" s="11" t="str">
        <f>"20190115905"</f>
        <v>20190115905</v>
      </c>
      <c r="D209" s="12">
        <v>67.5</v>
      </c>
      <c r="E209" s="12">
        <v>77.84</v>
      </c>
      <c r="F209" s="12">
        <f t="shared" si="6"/>
        <v>73.704</v>
      </c>
      <c r="G209" s="14"/>
    </row>
    <row r="210" ht="40.05" customHeight="1" spans="1:7">
      <c r="A210" s="9" t="s">
        <v>78</v>
      </c>
      <c r="B210" s="10" t="s">
        <v>82</v>
      </c>
      <c r="C210" s="11" t="str">
        <f>"20190116106"</f>
        <v>20190116106</v>
      </c>
      <c r="D210" s="12">
        <v>76</v>
      </c>
      <c r="E210" s="12">
        <v>78.84</v>
      </c>
      <c r="F210" s="12">
        <f t="shared" ref="F210:F235" si="7">D210*0.4+E210*0.6</f>
        <v>77.704</v>
      </c>
      <c r="G210" s="14" t="s">
        <v>11</v>
      </c>
    </row>
    <row r="211" ht="40.05" customHeight="1" spans="1:7">
      <c r="A211" s="9" t="s">
        <v>78</v>
      </c>
      <c r="B211" s="10" t="s">
        <v>82</v>
      </c>
      <c r="C211" s="11" t="str">
        <f>"20190116001"</f>
        <v>20190116001</v>
      </c>
      <c r="D211" s="12">
        <v>75</v>
      </c>
      <c r="E211" s="12">
        <v>78.78</v>
      </c>
      <c r="F211" s="12">
        <f t="shared" si="7"/>
        <v>77.268</v>
      </c>
      <c r="G211" s="14" t="s">
        <v>11</v>
      </c>
    </row>
    <row r="212" ht="40.05" customHeight="1" spans="1:7">
      <c r="A212" s="9" t="s">
        <v>78</v>
      </c>
      <c r="B212" s="10" t="s">
        <v>82</v>
      </c>
      <c r="C212" s="11" t="str">
        <f>"20190116108"</f>
        <v>20190116108</v>
      </c>
      <c r="D212" s="12">
        <v>78.5</v>
      </c>
      <c r="E212" s="12">
        <v>75.62</v>
      </c>
      <c r="F212" s="12">
        <f t="shared" si="7"/>
        <v>76.772</v>
      </c>
      <c r="G212" s="14"/>
    </row>
    <row r="213" ht="40.05" customHeight="1" spans="1:7">
      <c r="A213" s="9" t="s">
        <v>78</v>
      </c>
      <c r="B213" s="10" t="s">
        <v>82</v>
      </c>
      <c r="C213" s="11" t="str">
        <f>"20190116010"</f>
        <v>20190116010</v>
      </c>
      <c r="D213" s="12">
        <v>73.5</v>
      </c>
      <c r="E213" s="12">
        <v>77.34</v>
      </c>
      <c r="F213" s="12">
        <f t="shared" si="7"/>
        <v>75.804</v>
      </c>
      <c r="G213" s="14"/>
    </row>
    <row r="214" ht="40.05" customHeight="1" spans="1:7">
      <c r="A214" s="9" t="s">
        <v>78</v>
      </c>
      <c r="B214" s="10" t="s">
        <v>82</v>
      </c>
      <c r="C214" s="11" t="str">
        <f>"20190115924"</f>
        <v>20190115924</v>
      </c>
      <c r="D214" s="12">
        <v>75.5</v>
      </c>
      <c r="E214" s="12">
        <v>75.32</v>
      </c>
      <c r="F214" s="12">
        <f t="shared" si="7"/>
        <v>75.392</v>
      </c>
      <c r="G214" s="14"/>
    </row>
    <row r="215" ht="40.05" customHeight="1" spans="1:7">
      <c r="A215" s="9" t="s">
        <v>78</v>
      </c>
      <c r="B215" s="10" t="s">
        <v>82</v>
      </c>
      <c r="C215" s="11" t="str">
        <f>"20190116114"</f>
        <v>20190116114</v>
      </c>
      <c r="D215" s="12">
        <v>72</v>
      </c>
      <c r="E215" s="12">
        <v>70.28</v>
      </c>
      <c r="F215" s="12">
        <f t="shared" si="7"/>
        <v>70.968</v>
      </c>
      <c r="G215" s="14"/>
    </row>
    <row r="216" ht="40.05" customHeight="1" spans="1:7">
      <c r="A216" s="15" t="s">
        <v>83</v>
      </c>
      <c r="B216" s="15" t="s">
        <v>40</v>
      </c>
      <c r="C216" s="16" t="str">
        <f>"20190108813"</f>
        <v>20190108813</v>
      </c>
      <c r="D216" s="12">
        <v>65</v>
      </c>
      <c r="E216" s="12">
        <v>78.06</v>
      </c>
      <c r="F216" s="12">
        <f t="shared" si="7"/>
        <v>72.836</v>
      </c>
      <c r="G216" s="14" t="s">
        <v>11</v>
      </c>
    </row>
    <row r="217" ht="40.05" customHeight="1" spans="1:7">
      <c r="A217" s="15" t="s">
        <v>84</v>
      </c>
      <c r="B217" s="15" t="s">
        <v>40</v>
      </c>
      <c r="C217" s="16" t="str">
        <f>"20190108909"</f>
        <v>20190108909</v>
      </c>
      <c r="D217" s="12">
        <v>71.5</v>
      </c>
      <c r="E217" s="12">
        <v>79.34</v>
      </c>
      <c r="F217" s="12">
        <f t="shared" si="7"/>
        <v>76.204</v>
      </c>
      <c r="G217" s="14" t="s">
        <v>11</v>
      </c>
    </row>
    <row r="218" ht="40.05" customHeight="1" spans="1:7">
      <c r="A218" s="15" t="s">
        <v>84</v>
      </c>
      <c r="B218" s="15" t="s">
        <v>40</v>
      </c>
      <c r="C218" s="16" t="str">
        <f>"20190108917"</f>
        <v>20190108917</v>
      </c>
      <c r="D218" s="12">
        <v>71.5</v>
      </c>
      <c r="E218" s="12">
        <v>79.24</v>
      </c>
      <c r="F218" s="12">
        <f t="shared" si="7"/>
        <v>76.144</v>
      </c>
      <c r="G218" s="14"/>
    </row>
    <row r="219" ht="40.05" customHeight="1" spans="1:7">
      <c r="A219" s="15" t="s">
        <v>84</v>
      </c>
      <c r="B219" s="15" t="s">
        <v>40</v>
      </c>
      <c r="C219" s="16" t="str">
        <f>"20190108817"</f>
        <v>20190108817</v>
      </c>
      <c r="D219" s="12">
        <v>71.5</v>
      </c>
      <c r="E219" s="12">
        <v>76.54</v>
      </c>
      <c r="F219" s="12">
        <f t="shared" si="7"/>
        <v>74.524</v>
      </c>
      <c r="G219" s="14"/>
    </row>
    <row r="220" ht="40.05" customHeight="1" spans="1:7">
      <c r="A220" s="9" t="s">
        <v>85</v>
      </c>
      <c r="B220" s="10" t="s">
        <v>10</v>
      </c>
      <c r="C220" s="11" t="str">
        <f>"20190116225"</f>
        <v>20190116225</v>
      </c>
      <c r="D220" s="12">
        <v>78</v>
      </c>
      <c r="E220" s="12">
        <v>84.54</v>
      </c>
      <c r="F220" s="12">
        <f t="shared" si="7"/>
        <v>81.924</v>
      </c>
      <c r="G220" s="14" t="s">
        <v>11</v>
      </c>
    </row>
    <row r="221" ht="40.05" customHeight="1" spans="1:7">
      <c r="A221" s="9" t="s">
        <v>85</v>
      </c>
      <c r="B221" s="10" t="s">
        <v>10</v>
      </c>
      <c r="C221" s="11" t="str">
        <f>"20190116506"</f>
        <v>20190116506</v>
      </c>
      <c r="D221" s="12">
        <v>76.5</v>
      </c>
      <c r="E221" s="12">
        <v>79.92</v>
      </c>
      <c r="F221" s="12">
        <f t="shared" si="7"/>
        <v>78.552</v>
      </c>
      <c r="G221" s="14"/>
    </row>
    <row r="222" ht="40.05" customHeight="1" spans="1:7">
      <c r="A222" s="9" t="s">
        <v>85</v>
      </c>
      <c r="B222" s="10" t="s">
        <v>10</v>
      </c>
      <c r="C222" s="11" t="str">
        <f>"20190116327"</f>
        <v>20190116327</v>
      </c>
      <c r="D222" s="12">
        <v>73</v>
      </c>
      <c r="E222" s="12">
        <v>80.08</v>
      </c>
      <c r="F222" s="12">
        <f t="shared" si="7"/>
        <v>77.248</v>
      </c>
      <c r="G222" s="14"/>
    </row>
    <row r="223" ht="40.05" customHeight="1" spans="1:7">
      <c r="A223" s="9" t="s">
        <v>86</v>
      </c>
      <c r="B223" s="10" t="s">
        <v>57</v>
      </c>
      <c r="C223" s="11" t="str">
        <f>"20190116620"</f>
        <v>20190116620</v>
      </c>
      <c r="D223" s="12">
        <v>68</v>
      </c>
      <c r="E223" s="12">
        <v>83.94</v>
      </c>
      <c r="F223" s="12">
        <f t="shared" si="7"/>
        <v>77.564</v>
      </c>
      <c r="G223" s="14" t="s">
        <v>11</v>
      </c>
    </row>
    <row r="224" ht="40.05" customHeight="1" spans="1:7">
      <c r="A224" s="9" t="s">
        <v>86</v>
      </c>
      <c r="B224" s="10" t="s">
        <v>57</v>
      </c>
      <c r="C224" s="11" t="str">
        <f>"20190116612"</f>
        <v>20190116612</v>
      </c>
      <c r="D224" s="12">
        <v>70.5</v>
      </c>
      <c r="E224" s="12">
        <v>80.46</v>
      </c>
      <c r="F224" s="12">
        <f t="shared" si="7"/>
        <v>76.476</v>
      </c>
      <c r="G224" s="14"/>
    </row>
    <row r="225" ht="40.05" customHeight="1" spans="1:7">
      <c r="A225" s="9" t="s">
        <v>86</v>
      </c>
      <c r="B225" s="10" t="s">
        <v>57</v>
      </c>
      <c r="C225" s="11" t="str">
        <f>"20190116608"</f>
        <v>20190116608</v>
      </c>
      <c r="D225" s="12">
        <v>69.5</v>
      </c>
      <c r="E225" s="12">
        <v>80.18</v>
      </c>
      <c r="F225" s="12">
        <f t="shared" si="7"/>
        <v>75.908</v>
      </c>
      <c r="G225" s="14"/>
    </row>
    <row r="226" ht="40.05" customHeight="1" spans="1:7">
      <c r="A226" s="9" t="s">
        <v>86</v>
      </c>
      <c r="B226" s="10" t="s">
        <v>57</v>
      </c>
      <c r="C226" s="11" t="str">
        <f>"20190116521"</f>
        <v>20190116521</v>
      </c>
      <c r="D226" s="12">
        <v>68</v>
      </c>
      <c r="E226" s="12">
        <v>79.92</v>
      </c>
      <c r="F226" s="12">
        <f t="shared" si="7"/>
        <v>75.152</v>
      </c>
      <c r="G226" s="14"/>
    </row>
    <row r="227" ht="40.05" customHeight="1" spans="1:7">
      <c r="A227" s="9" t="s">
        <v>86</v>
      </c>
      <c r="B227" s="10" t="s">
        <v>26</v>
      </c>
      <c r="C227" s="11" t="str">
        <f>"20190116815"</f>
        <v>20190116815</v>
      </c>
      <c r="D227" s="12">
        <v>75</v>
      </c>
      <c r="E227" s="12">
        <v>84</v>
      </c>
      <c r="F227" s="12">
        <f t="shared" si="7"/>
        <v>80.4</v>
      </c>
      <c r="G227" s="14" t="s">
        <v>11</v>
      </c>
    </row>
    <row r="228" ht="40.05" customHeight="1" spans="1:7">
      <c r="A228" s="9" t="s">
        <v>86</v>
      </c>
      <c r="B228" s="10" t="s">
        <v>26</v>
      </c>
      <c r="C228" s="11" t="str">
        <f>"20190116702"</f>
        <v>20190116702</v>
      </c>
      <c r="D228" s="12">
        <v>71.5</v>
      </c>
      <c r="E228" s="12">
        <v>79.34</v>
      </c>
      <c r="F228" s="12">
        <f t="shared" si="7"/>
        <v>76.204</v>
      </c>
      <c r="G228" s="14"/>
    </row>
    <row r="229" ht="40.05" customHeight="1" spans="1:7">
      <c r="A229" s="9" t="s">
        <v>86</v>
      </c>
      <c r="B229" s="10" t="s">
        <v>26</v>
      </c>
      <c r="C229" s="11" t="str">
        <f>"20190116728"</f>
        <v>20190116728</v>
      </c>
      <c r="D229" s="12">
        <v>71</v>
      </c>
      <c r="E229" s="12">
        <v>78.04</v>
      </c>
      <c r="F229" s="12">
        <f t="shared" si="7"/>
        <v>75.224</v>
      </c>
      <c r="G229" s="14"/>
    </row>
    <row r="230" ht="40.05" customHeight="1" spans="1:7">
      <c r="A230" s="9" t="s">
        <v>86</v>
      </c>
      <c r="B230" s="10" t="s">
        <v>33</v>
      </c>
      <c r="C230" s="11" t="str">
        <f>"20190117016"</f>
        <v>20190117016</v>
      </c>
      <c r="D230" s="12">
        <v>69</v>
      </c>
      <c r="E230" s="12">
        <v>85.54</v>
      </c>
      <c r="F230" s="12">
        <f t="shared" si="7"/>
        <v>78.924</v>
      </c>
      <c r="G230" s="14" t="s">
        <v>11</v>
      </c>
    </row>
    <row r="231" ht="40.05" customHeight="1" spans="1:7">
      <c r="A231" s="9" t="s">
        <v>86</v>
      </c>
      <c r="B231" s="10" t="s">
        <v>33</v>
      </c>
      <c r="C231" s="11" t="str">
        <f>"20190117026"</f>
        <v>20190117026</v>
      </c>
      <c r="D231" s="12">
        <v>64.5</v>
      </c>
      <c r="E231" s="12">
        <v>79.04</v>
      </c>
      <c r="F231" s="12">
        <f t="shared" si="7"/>
        <v>73.224</v>
      </c>
      <c r="G231" s="14"/>
    </row>
    <row r="232" ht="40.05" customHeight="1" spans="1:7">
      <c r="A232" s="9" t="s">
        <v>86</v>
      </c>
      <c r="B232" s="10" t="s">
        <v>33</v>
      </c>
      <c r="C232" s="11" t="str">
        <f>"20190117021"</f>
        <v>20190117021</v>
      </c>
      <c r="D232" s="12">
        <v>63</v>
      </c>
      <c r="E232" s="12">
        <v>76.36</v>
      </c>
      <c r="F232" s="12">
        <f t="shared" si="7"/>
        <v>71.016</v>
      </c>
      <c r="G232" s="14"/>
    </row>
    <row r="233" ht="40.05" customHeight="1" spans="1:7">
      <c r="A233" s="9" t="s">
        <v>87</v>
      </c>
      <c r="B233" s="10" t="s">
        <v>40</v>
      </c>
      <c r="C233" s="11" t="str">
        <f>"20190117109"</f>
        <v>20190117109</v>
      </c>
      <c r="D233" s="12">
        <v>74</v>
      </c>
      <c r="E233" s="12">
        <v>81.7</v>
      </c>
      <c r="F233" s="12">
        <f t="shared" si="7"/>
        <v>78.62</v>
      </c>
      <c r="G233" s="14" t="s">
        <v>11</v>
      </c>
    </row>
    <row r="234" ht="40.05" customHeight="1" spans="1:7">
      <c r="A234" s="9" t="s">
        <v>87</v>
      </c>
      <c r="B234" s="10" t="s">
        <v>40</v>
      </c>
      <c r="C234" s="11" t="str">
        <f>"20190117107"</f>
        <v>20190117107</v>
      </c>
      <c r="D234" s="12">
        <v>67.5</v>
      </c>
      <c r="E234" s="12">
        <v>81.18</v>
      </c>
      <c r="F234" s="12">
        <f t="shared" si="7"/>
        <v>75.708</v>
      </c>
      <c r="G234" s="14"/>
    </row>
    <row r="235" ht="40.05" customHeight="1" spans="1:7">
      <c r="A235" s="9" t="s">
        <v>87</v>
      </c>
      <c r="B235" s="10" t="s">
        <v>40</v>
      </c>
      <c r="C235" s="11" t="str">
        <f>"20190117104"</f>
        <v>20190117104</v>
      </c>
      <c r="D235" s="12">
        <v>66.5</v>
      </c>
      <c r="E235" s="12">
        <v>74.14</v>
      </c>
      <c r="F235" s="12">
        <f t="shared" si="7"/>
        <v>71.084</v>
      </c>
      <c r="G235" s="14"/>
    </row>
    <row r="236" ht="40.05" customHeight="1" spans="1:7">
      <c r="A236" s="9" t="s">
        <v>88</v>
      </c>
      <c r="B236" s="10" t="s">
        <v>10</v>
      </c>
      <c r="C236" s="11" t="str">
        <f>"20190117210"</f>
        <v>20190117210</v>
      </c>
      <c r="D236" s="12">
        <v>71</v>
      </c>
      <c r="E236" s="12">
        <v>81.72</v>
      </c>
      <c r="F236" s="12">
        <f t="shared" ref="F236:F295" si="8">D236*0.4+E236*0.6</f>
        <v>77.432</v>
      </c>
      <c r="G236" s="14" t="s">
        <v>11</v>
      </c>
    </row>
    <row r="237" ht="40.05" customHeight="1" spans="1:7">
      <c r="A237" s="9" t="s">
        <v>88</v>
      </c>
      <c r="B237" s="10" t="s">
        <v>10</v>
      </c>
      <c r="C237" s="11" t="str">
        <f>"20190117308"</f>
        <v>20190117308</v>
      </c>
      <c r="D237" s="12">
        <v>69</v>
      </c>
      <c r="E237" s="12">
        <v>80.36</v>
      </c>
      <c r="F237" s="12">
        <f t="shared" si="8"/>
        <v>75.816</v>
      </c>
      <c r="G237" s="14"/>
    </row>
    <row r="238" ht="40.05" customHeight="1" spans="1:7">
      <c r="A238" s="9" t="s">
        <v>88</v>
      </c>
      <c r="B238" s="10" t="s">
        <v>10</v>
      </c>
      <c r="C238" s="11" t="str">
        <f>"20190117208"</f>
        <v>20190117208</v>
      </c>
      <c r="D238" s="12">
        <v>68.5</v>
      </c>
      <c r="E238" s="12">
        <v>80.38</v>
      </c>
      <c r="F238" s="12">
        <f t="shared" si="8"/>
        <v>75.628</v>
      </c>
      <c r="G238" s="14"/>
    </row>
    <row r="239" ht="40.05" customHeight="1" spans="1:7">
      <c r="A239" s="9" t="s">
        <v>88</v>
      </c>
      <c r="B239" s="10" t="s">
        <v>10</v>
      </c>
      <c r="C239" s="11" t="str">
        <f>"20190117401"</f>
        <v>20190117401</v>
      </c>
      <c r="D239" s="12">
        <v>68.5</v>
      </c>
      <c r="E239" s="12">
        <v>79.84</v>
      </c>
      <c r="F239" s="12">
        <f t="shared" si="8"/>
        <v>75.304</v>
      </c>
      <c r="G239" s="14"/>
    </row>
    <row r="240" ht="40.05" customHeight="1" spans="1:7">
      <c r="A240" s="9" t="s">
        <v>88</v>
      </c>
      <c r="B240" s="10" t="s">
        <v>10</v>
      </c>
      <c r="C240" s="11" t="str">
        <f>"20190117230"</f>
        <v>20190117230</v>
      </c>
      <c r="D240" s="12">
        <v>68.5</v>
      </c>
      <c r="E240" s="12">
        <v>79.76</v>
      </c>
      <c r="F240" s="12">
        <f t="shared" si="8"/>
        <v>75.256</v>
      </c>
      <c r="G240" s="14"/>
    </row>
    <row r="241" ht="40.05" customHeight="1" spans="1:7">
      <c r="A241" s="9" t="s">
        <v>89</v>
      </c>
      <c r="B241" s="10" t="s">
        <v>90</v>
      </c>
      <c r="C241" s="11" t="str">
        <f>"20190117722"</f>
        <v>20190117722</v>
      </c>
      <c r="D241" s="12">
        <v>68</v>
      </c>
      <c r="E241" s="12">
        <v>83.08</v>
      </c>
      <c r="F241" s="12">
        <f t="shared" si="8"/>
        <v>77.048</v>
      </c>
      <c r="G241" s="14" t="s">
        <v>11</v>
      </c>
    </row>
    <row r="242" ht="40.05" customHeight="1" spans="1:7">
      <c r="A242" s="9" t="s">
        <v>89</v>
      </c>
      <c r="B242" s="10" t="s">
        <v>90</v>
      </c>
      <c r="C242" s="11" t="str">
        <f>"20190117818"</f>
        <v>20190117818</v>
      </c>
      <c r="D242" s="12">
        <v>71</v>
      </c>
      <c r="E242" s="12">
        <v>77.74</v>
      </c>
      <c r="F242" s="12">
        <f t="shared" si="8"/>
        <v>75.044</v>
      </c>
      <c r="G242" s="14"/>
    </row>
    <row r="243" ht="40.05" customHeight="1" spans="1:7">
      <c r="A243" s="9" t="s">
        <v>89</v>
      </c>
      <c r="B243" s="10" t="s">
        <v>90</v>
      </c>
      <c r="C243" s="11" t="str">
        <f>"20190117801"</f>
        <v>20190117801</v>
      </c>
      <c r="D243" s="12">
        <v>68</v>
      </c>
      <c r="E243" s="12">
        <v>78.9</v>
      </c>
      <c r="F243" s="12">
        <f t="shared" si="8"/>
        <v>74.54</v>
      </c>
      <c r="G243" s="14"/>
    </row>
    <row r="244" ht="40.05" customHeight="1" spans="1:7">
      <c r="A244" s="15" t="s">
        <v>91</v>
      </c>
      <c r="B244" s="15" t="s">
        <v>10</v>
      </c>
      <c r="C244" s="16" t="str">
        <f>"20190109010"</f>
        <v>20190109010</v>
      </c>
      <c r="D244" s="12">
        <v>77</v>
      </c>
      <c r="E244" s="12">
        <v>82.06</v>
      </c>
      <c r="F244" s="12">
        <f t="shared" si="8"/>
        <v>80.036</v>
      </c>
      <c r="G244" s="14" t="s">
        <v>11</v>
      </c>
    </row>
    <row r="245" ht="40.05" customHeight="1" spans="1:7">
      <c r="A245" s="15" t="s">
        <v>91</v>
      </c>
      <c r="B245" s="15" t="s">
        <v>10</v>
      </c>
      <c r="C245" s="16" t="str">
        <f>"20190109111"</f>
        <v>20190109111</v>
      </c>
      <c r="D245" s="12">
        <v>77.5</v>
      </c>
      <c r="E245" s="12">
        <v>79.96</v>
      </c>
      <c r="F245" s="12">
        <f t="shared" si="8"/>
        <v>78.976</v>
      </c>
      <c r="G245" s="14"/>
    </row>
    <row r="246" ht="40.05" customHeight="1" spans="1:7">
      <c r="A246" s="15" t="s">
        <v>91</v>
      </c>
      <c r="B246" s="15" t="s">
        <v>10</v>
      </c>
      <c r="C246" s="16" t="str">
        <f>"20190109027"</f>
        <v>20190109027</v>
      </c>
      <c r="D246" s="12">
        <v>75.5</v>
      </c>
      <c r="E246" s="12">
        <v>79.14</v>
      </c>
      <c r="F246" s="12">
        <f t="shared" si="8"/>
        <v>77.684</v>
      </c>
      <c r="G246" s="14"/>
    </row>
    <row r="247" ht="40.05" customHeight="1" spans="1:7">
      <c r="A247" s="15" t="s">
        <v>91</v>
      </c>
      <c r="B247" s="15" t="s">
        <v>10</v>
      </c>
      <c r="C247" s="16" t="str">
        <f>"20190109324"</f>
        <v>20190109324</v>
      </c>
      <c r="D247" s="12">
        <v>75.5</v>
      </c>
      <c r="E247" s="12">
        <v>78.46</v>
      </c>
      <c r="F247" s="12">
        <f t="shared" si="8"/>
        <v>77.276</v>
      </c>
      <c r="G247" s="14"/>
    </row>
    <row r="248" ht="40.05" customHeight="1" spans="1:7">
      <c r="A248" s="9" t="s">
        <v>92</v>
      </c>
      <c r="B248" s="10" t="s">
        <v>33</v>
      </c>
      <c r="C248" s="11" t="str">
        <f>"20190117903"</f>
        <v>20190117903</v>
      </c>
      <c r="D248" s="12">
        <v>70</v>
      </c>
      <c r="E248" s="12">
        <v>81.66</v>
      </c>
      <c r="F248" s="12">
        <f t="shared" si="8"/>
        <v>76.996</v>
      </c>
      <c r="G248" s="14" t="s">
        <v>11</v>
      </c>
    </row>
    <row r="249" ht="40.05" customHeight="1" spans="1:7">
      <c r="A249" s="9" t="s">
        <v>92</v>
      </c>
      <c r="B249" s="10" t="s">
        <v>33</v>
      </c>
      <c r="C249" s="11" t="str">
        <f>"20190117902"</f>
        <v>20190117902</v>
      </c>
      <c r="D249" s="12">
        <v>74</v>
      </c>
      <c r="E249" s="12">
        <v>74.88</v>
      </c>
      <c r="F249" s="12">
        <f t="shared" si="8"/>
        <v>74.528</v>
      </c>
      <c r="G249" s="14"/>
    </row>
    <row r="250" ht="40.05" customHeight="1" spans="1:7">
      <c r="A250" s="9" t="s">
        <v>92</v>
      </c>
      <c r="B250" s="10" t="s">
        <v>33</v>
      </c>
      <c r="C250" s="11" t="str">
        <f>"20190117827"</f>
        <v>20190117827</v>
      </c>
      <c r="D250" s="12">
        <v>69.5</v>
      </c>
      <c r="E250" s="12">
        <v>76.8</v>
      </c>
      <c r="F250" s="12">
        <f t="shared" si="8"/>
        <v>73.88</v>
      </c>
      <c r="G250" s="14"/>
    </row>
    <row r="251" ht="40.05" customHeight="1" spans="1:7">
      <c r="A251" s="9" t="s">
        <v>93</v>
      </c>
      <c r="B251" s="10" t="s">
        <v>94</v>
      </c>
      <c r="C251" s="11" t="str">
        <f>"20190117922"</f>
        <v>20190117922</v>
      </c>
      <c r="D251" s="12">
        <v>68.5</v>
      </c>
      <c r="E251" s="12">
        <v>79.66</v>
      </c>
      <c r="F251" s="12">
        <f t="shared" si="8"/>
        <v>75.196</v>
      </c>
      <c r="G251" s="14" t="s">
        <v>11</v>
      </c>
    </row>
    <row r="252" ht="40.05" customHeight="1" spans="1:7">
      <c r="A252" s="9" t="s">
        <v>93</v>
      </c>
      <c r="B252" s="10" t="s">
        <v>94</v>
      </c>
      <c r="C252" s="11" t="str">
        <f>"20190117918"</f>
        <v>20190117918</v>
      </c>
      <c r="D252" s="12">
        <v>64.5</v>
      </c>
      <c r="E252" s="12">
        <v>79.38</v>
      </c>
      <c r="F252" s="12">
        <f t="shared" si="8"/>
        <v>73.428</v>
      </c>
      <c r="G252" s="14"/>
    </row>
    <row r="253" ht="40.05" customHeight="1" spans="1:7">
      <c r="A253" s="9" t="s">
        <v>93</v>
      </c>
      <c r="B253" s="10" t="s">
        <v>94</v>
      </c>
      <c r="C253" s="11" t="str">
        <f>"20190117924"</f>
        <v>20190117924</v>
      </c>
      <c r="D253" s="12">
        <v>60.5</v>
      </c>
      <c r="E253" s="12">
        <v>81.18</v>
      </c>
      <c r="F253" s="12">
        <f t="shared" si="8"/>
        <v>72.908</v>
      </c>
      <c r="G253" s="14"/>
    </row>
    <row r="254" ht="40.05" customHeight="1" spans="1:7">
      <c r="A254" s="9" t="s">
        <v>95</v>
      </c>
      <c r="B254" s="10" t="s">
        <v>96</v>
      </c>
      <c r="C254" s="11" t="str">
        <f>"20190117930"</f>
        <v>20190117930</v>
      </c>
      <c r="D254" s="12">
        <v>56.5</v>
      </c>
      <c r="E254" s="12">
        <v>82.82</v>
      </c>
      <c r="F254" s="12">
        <f t="shared" si="8"/>
        <v>72.292</v>
      </c>
      <c r="G254" s="14" t="s">
        <v>11</v>
      </c>
    </row>
    <row r="255" ht="40.05" customHeight="1" spans="1:7">
      <c r="A255" s="9" t="s">
        <v>95</v>
      </c>
      <c r="B255" s="10" t="s">
        <v>96</v>
      </c>
      <c r="C255" s="11" t="str">
        <f>"20190118002"</f>
        <v>20190118002</v>
      </c>
      <c r="D255" s="12">
        <v>59</v>
      </c>
      <c r="E255" s="12">
        <v>79.02</v>
      </c>
      <c r="F255" s="12">
        <f t="shared" si="8"/>
        <v>71.012</v>
      </c>
      <c r="G255" s="14"/>
    </row>
    <row r="256" ht="40.05" customHeight="1" spans="1:7">
      <c r="A256" s="9" t="s">
        <v>95</v>
      </c>
      <c r="B256" s="10" t="s">
        <v>96</v>
      </c>
      <c r="C256" s="11" t="str">
        <f>"20190118003"</f>
        <v>20190118003</v>
      </c>
      <c r="D256" s="12">
        <v>58</v>
      </c>
      <c r="E256" s="12">
        <v>79.64</v>
      </c>
      <c r="F256" s="12">
        <f t="shared" si="8"/>
        <v>70.984</v>
      </c>
      <c r="G256" s="14"/>
    </row>
    <row r="257" ht="40.05" customHeight="1" spans="1:7">
      <c r="A257" s="9" t="s">
        <v>97</v>
      </c>
      <c r="B257" s="10" t="s">
        <v>98</v>
      </c>
      <c r="C257" s="11" t="str">
        <f>"20190118019"</f>
        <v>20190118019</v>
      </c>
      <c r="D257" s="12">
        <v>67.5</v>
      </c>
      <c r="E257" s="12">
        <v>85.86</v>
      </c>
      <c r="F257" s="12">
        <f t="shared" si="8"/>
        <v>78.516</v>
      </c>
      <c r="G257" s="14" t="s">
        <v>11</v>
      </c>
    </row>
    <row r="258" ht="40.05" customHeight="1" spans="1:7">
      <c r="A258" s="9" t="s">
        <v>97</v>
      </c>
      <c r="B258" s="10" t="s">
        <v>98</v>
      </c>
      <c r="C258" s="11" t="str">
        <f>"20190118017"</f>
        <v>20190118017</v>
      </c>
      <c r="D258" s="12">
        <v>69</v>
      </c>
      <c r="E258" s="12">
        <v>82.04</v>
      </c>
      <c r="F258" s="12">
        <f t="shared" si="8"/>
        <v>76.824</v>
      </c>
      <c r="G258" s="14"/>
    </row>
    <row r="259" ht="40.05" customHeight="1" spans="1:7">
      <c r="A259" s="9" t="s">
        <v>97</v>
      </c>
      <c r="B259" s="10" t="s">
        <v>98</v>
      </c>
      <c r="C259" s="11" t="str">
        <f>"20190118022"</f>
        <v>20190118022</v>
      </c>
      <c r="D259" s="12">
        <v>68</v>
      </c>
      <c r="E259" s="12">
        <v>79.98</v>
      </c>
      <c r="F259" s="12">
        <f t="shared" si="8"/>
        <v>75.188</v>
      </c>
      <c r="G259" s="14"/>
    </row>
    <row r="260" ht="40.05" customHeight="1" spans="1:7">
      <c r="A260" s="9" t="s">
        <v>97</v>
      </c>
      <c r="B260" s="10" t="s">
        <v>99</v>
      </c>
      <c r="C260" s="11" t="str">
        <f>"20190118415"</f>
        <v>20190118415</v>
      </c>
      <c r="D260" s="12">
        <v>73</v>
      </c>
      <c r="E260" s="12">
        <v>83.52</v>
      </c>
      <c r="F260" s="12">
        <f t="shared" si="8"/>
        <v>79.312</v>
      </c>
      <c r="G260" s="14" t="s">
        <v>11</v>
      </c>
    </row>
    <row r="261" ht="40.05" customHeight="1" spans="1:7">
      <c r="A261" s="9" t="s">
        <v>97</v>
      </c>
      <c r="B261" s="10" t="s">
        <v>99</v>
      </c>
      <c r="C261" s="11" t="str">
        <f>"20190118221"</f>
        <v>20190118221</v>
      </c>
      <c r="D261" s="12">
        <v>72.5</v>
      </c>
      <c r="E261" s="12">
        <v>82.76</v>
      </c>
      <c r="F261" s="12">
        <f t="shared" si="8"/>
        <v>78.656</v>
      </c>
      <c r="G261" s="14"/>
    </row>
    <row r="262" ht="40.05" customHeight="1" spans="1:7">
      <c r="A262" s="9" t="s">
        <v>97</v>
      </c>
      <c r="B262" s="10" t="s">
        <v>99</v>
      </c>
      <c r="C262" s="11" t="str">
        <f>"20190118417"</f>
        <v>20190118417</v>
      </c>
      <c r="D262" s="12">
        <v>71.5</v>
      </c>
      <c r="E262" s="12">
        <v>81.52</v>
      </c>
      <c r="F262" s="12">
        <f t="shared" si="8"/>
        <v>77.512</v>
      </c>
      <c r="G262" s="17"/>
    </row>
    <row r="263" ht="40.05" customHeight="1" spans="1:7">
      <c r="A263" s="9" t="s">
        <v>100</v>
      </c>
      <c r="B263" s="10" t="s">
        <v>26</v>
      </c>
      <c r="C263" s="11" t="str">
        <f>"20190119117"</f>
        <v>20190119117</v>
      </c>
      <c r="D263" s="12">
        <v>70</v>
      </c>
      <c r="E263" s="12">
        <v>81.1</v>
      </c>
      <c r="F263" s="12">
        <f t="shared" si="8"/>
        <v>76.66</v>
      </c>
      <c r="G263" s="14" t="s">
        <v>11</v>
      </c>
    </row>
    <row r="264" ht="40.05" customHeight="1" spans="1:7">
      <c r="A264" s="9" t="s">
        <v>100</v>
      </c>
      <c r="B264" s="10" t="s">
        <v>26</v>
      </c>
      <c r="C264" s="11" t="str">
        <f>"20190119030"</f>
        <v>20190119030</v>
      </c>
      <c r="D264" s="12">
        <v>69.5</v>
      </c>
      <c r="E264" s="12">
        <v>81.12</v>
      </c>
      <c r="F264" s="12">
        <f t="shared" si="8"/>
        <v>76.472</v>
      </c>
      <c r="G264" s="14"/>
    </row>
    <row r="265" ht="40.05" customHeight="1" spans="1:7">
      <c r="A265" s="9" t="s">
        <v>100</v>
      </c>
      <c r="B265" s="10" t="s">
        <v>26</v>
      </c>
      <c r="C265" s="11" t="str">
        <f>"20190119109"</f>
        <v>20190119109</v>
      </c>
      <c r="D265" s="12">
        <v>69.5</v>
      </c>
      <c r="E265" s="12">
        <v>81.02</v>
      </c>
      <c r="F265" s="12">
        <f t="shared" si="8"/>
        <v>76.412</v>
      </c>
      <c r="G265" s="14"/>
    </row>
    <row r="266" ht="40.05" customHeight="1" spans="1:7">
      <c r="A266" s="9" t="s">
        <v>100</v>
      </c>
      <c r="B266" s="10" t="s">
        <v>26</v>
      </c>
      <c r="C266" s="11" t="str">
        <f>"20190119104"</f>
        <v>20190119104</v>
      </c>
      <c r="D266" s="12">
        <v>69.5</v>
      </c>
      <c r="E266" s="12">
        <v>77.02</v>
      </c>
      <c r="F266" s="12">
        <f t="shared" si="8"/>
        <v>74.012</v>
      </c>
      <c r="G266" s="14"/>
    </row>
    <row r="267" ht="40.05" customHeight="1" spans="1:7">
      <c r="A267" s="9" t="s">
        <v>100</v>
      </c>
      <c r="B267" s="10" t="s">
        <v>101</v>
      </c>
      <c r="C267" s="11" t="str">
        <f>"20190119123"</f>
        <v>20190119123</v>
      </c>
      <c r="D267" s="12">
        <v>58.5</v>
      </c>
      <c r="E267" s="12">
        <v>82.38</v>
      </c>
      <c r="F267" s="12">
        <f t="shared" si="8"/>
        <v>72.828</v>
      </c>
      <c r="G267" s="14" t="s">
        <v>11</v>
      </c>
    </row>
    <row r="268" ht="40.05" customHeight="1" spans="1:7">
      <c r="A268" s="9" t="s">
        <v>102</v>
      </c>
      <c r="B268" s="10" t="s">
        <v>26</v>
      </c>
      <c r="C268" s="11" t="str">
        <f>"20190119226"</f>
        <v>20190119226</v>
      </c>
      <c r="D268" s="12">
        <v>76.5</v>
      </c>
      <c r="E268" s="12">
        <v>83.36</v>
      </c>
      <c r="F268" s="12">
        <f t="shared" si="8"/>
        <v>80.616</v>
      </c>
      <c r="G268" s="14" t="s">
        <v>11</v>
      </c>
    </row>
    <row r="269" ht="40.05" customHeight="1" spans="1:7">
      <c r="A269" s="9" t="s">
        <v>102</v>
      </c>
      <c r="B269" s="10" t="s">
        <v>26</v>
      </c>
      <c r="C269" s="11" t="str">
        <f>"20190119213"</f>
        <v>20190119213</v>
      </c>
      <c r="D269" s="12">
        <v>69.5</v>
      </c>
      <c r="E269" s="12">
        <v>82.84</v>
      </c>
      <c r="F269" s="12">
        <f t="shared" si="8"/>
        <v>77.504</v>
      </c>
      <c r="G269" s="14"/>
    </row>
    <row r="270" ht="40.05" customHeight="1" spans="1:7">
      <c r="A270" s="9" t="s">
        <v>102</v>
      </c>
      <c r="B270" s="10" t="s">
        <v>26</v>
      </c>
      <c r="C270" s="11" t="str">
        <f>"20190119207"</f>
        <v>20190119207</v>
      </c>
      <c r="D270" s="12">
        <v>68</v>
      </c>
      <c r="E270" s="12">
        <v>77.28</v>
      </c>
      <c r="F270" s="12">
        <f t="shared" si="8"/>
        <v>73.568</v>
      </c>
      <c r="G270" s="14"/>
    </row>
    <row r="271" ht="40.05" customHeight="1" spans="1:7">
      <c r="A271" s="15" t="s">
        <v>103</v>
      </c>
      <c r="B271" s="15" t="s">
        <v>26</v>
      </c>
      <c r="C271" s="16" t="str">
        <f>"20190109425"</f>
        <v>20190109425</v>
      </c>
      <c r="D271" s="12">
        <v>76.5</v>
      </c>
      <c r="E271" s="12">
        <v>86</v>
      </c>
      <c r="F271" s="12">
        <f t="shared" si="8"/>
        <v>82.2</v>
      </c>
      <c r="G271" s="14" t="s">
        <v>11</v>
      </c>
    </row>
    <row r="272" ht="40.05" customHeight="1" spans="1:7">
      <c r="A272" s="15" t="s">
        <v>103</v>
      </c>
      <c r="B272" s="15" t="s">
        <v>26</v>
      </c>
      <c r="C272" s="16" t="str">
        <f>"20190109505"</f>
        <v>20190109505</v>
      </c>
      <c r="D272" s="12">
        <v>74</v>
      </c>
      <c r="E272" s="12">
        <v>77.5</v>
      </c>
      <c r="F272" s="12">
        <f t="shared" si="8"/>
        <v>76.1</v>
      </c>
      <c r="G272" s="14"/>
    </row>
    <row r="273" ht="40.05" customHeight="1" spans="1:7">
      <c r="A273" s="15" t="s">
        <v>103</v>
      </c>
      <c r="B273" s="15" t="s">
        <v>26</v>
      </c>
      <c r="C273" s="16" t="str">
        <f>"20190109610"</f>
        <v>20190109610</v>
      </c>
      <c r="D273" s="12">
        <v>74.5</v>
      </c>
      <c r="E273" s="12">
        <v>75.2</v>
      </c>
      <c r="F273" s="12">
        <f t="shared" si="8"/>
        <v>74.92</v>
      </c>
      <c r="G273" s="14"/>
    </row>
    <row r="274" ht="40.05" customHeight="1" spans="1:7">
      <c r="A274" s="9" t="s">
        <v>104</v>
      </c>
      <c r="B274" s="10" t="s">
        <v>15</v>
      </c>
      <c r="C274" s="11" t="str">
        <f>"20190119305"</f>
        <v>20190119305</v>
      </c>
      <c r="D274" s="12">
        <v>73</v>
      </c>
      <c r="E274" s="12">
        <v>82.72</v>
      </c>
      <c r="F274" s="12">
        <f t="shared" si="8"/>
        <v>78.832</v>
      </c>
      <c r="G274" s="14" t="s">
        <v>11</v>
      </c>
    </row>
    <row r="275" ht="40.05" customHeight="1" spans="1:7">
      <c r="A275" s="9" t="s">
        <v>104</v>
      </c>
      <c r="B275" s="10" t="s">
        <v>15</v>
      </c>
      <c r="C275" s="11" t="str">
        <f>"20190119326"</f>
        <v>20190119326</v>
      </c>
      <c r="D275" s="12">
        <v>71</v>
      </c>
      <c r="E275" s="12">
        <v>78.14</v>
      </c>
      <c r="F275" s="12">
        <f t="shared" si="8"/>
        <v>75.284</v>
      </c>
      <c r="G275" s="14"/>
    </row>
    <row r="276" ht="40.05" customHeight="1" spans="1:7">
      <c r="A276" s="9" t="s">
        <v>104</v>
      </c>
      <c r="B276" s="10" t="s">
        <v>15</v>
      </c>
      <c r="C276" s="11" t="str">
        <f>"20190119329"</f>
        <v>20190119329</v>
      </c>
      <c r="D276" s="12">
        <v>68.5</v>
      </c>
      <c r="E276" s="12">
        <v>78.4</v>
      </c>
      <c r="F276" s="12">
        <f t="shared" si="8"/>
        <v>74.44</v>
      </c>
      <c r="G276" s="14"/>
    </row>
    <row r="277" ht="40.05" customHeight="1" spans="1:7">
      <c r="A277" s="9" t="s">
        <v>104</v>
      </c>
      <c r="B277" s="10" t="s">
        <v>33</v>
      </c>
      <c r="C277" s="11" t="str">
        <f>"20190119415"</f>
        <v>20190119415</v>
      </c>
      <c r="D277" s="12">
        <v>69</v>
      </c>
      <c r="E277" s="12">
        <v>76.98</v>
      </c>
      <c r="F277" s="12">
        <f t="shared" si="8"/>
        <v>73.788</v>
      </c>
      <c r="G277" s="14" t="s">
        <v>11</v>
      </c>
    </row>
    <row r="278" ht="40.05" customHeight="1" spans="1:7">
      <c r="A278" s="9" t="s">
        <v>104</v>
      </c>
      <c r="B278" s="10" t="s">
        <v>33</v>
      </c>
      <c r="C278" s="11" t="str">
        <f>"20190119416"</f>
        <v>20190119416</v>
      </c>
      <c r="D278" s="12">
        <v>65.5</v>
      </c>
      <c r="E278" s="12">
        <v>74.86</v>
      </c>
      <c r="F278" s="12">
        <f t="shared" si="8"/>
        <v>71.116</v>
      </c>
      <c r="G278" s="14"/>
    </row>
    <row r="279" ht="40.05" customHeight="1" spans="1:7">
      <c r="A279" s="9" t="s">
        <v>104</v>
      </c>
      <c r="B279" s="10" t="s">
        <v>33</v>
      </c>
      <c r="C279" s="11" t="str">
        <f>"20190119420"</f>
        <v>20190119420</v>
      </c>
      <c r="D279" s="12">
        <v>63.5</v>
      </c>
      <c r="E279" s="12">
        <v>75.22</v>
      </c>
      <c r="F279" s="12">
        <f t="shared" si="8"/>
        <v>70.532</v>
      </c>
      <c r="G279" s="14"/>
    </row>
    <row r="280" ht="40.05" customHeight="1" spans="1:7">
      <c r="A280" s="9" t="s">
        <v>105</v>
      </c>
      <c r="B280" s="10" t="s">
        <v>26</v>
      </c>
      <c r="C280" s="11" t="str">
        <f>"20190119508"</f>
        <v>20190119508</v>
      </c>
      <c r="D280" s="12">
        <v>67.5</v>
      </c>
      <c r="E280" s="12">
        <v>83.98</v>
      </c>
      <c r="F280" s="12">
        <f t="shared" si="8"/>
        <v>77.388</v>
      </c>
      <c r="G280" s="14" t="s">
        <v>11</v>
      </c>
    </row>
    <row r="281" ht="40.05" customHeight="1" spans="1:7">
      <c r="A281" s="9" t="s">
        <v>105</v>
      </c>
      <c r="B281" s="10" t="s">
        <v>26</v>
      </c>
      <c r="C281" s="11" t="str">
        <f>"20190119601"</f>
        <v>20190119601</v>
      </c>
      <c r="D281" s="12">
        <v>68</v>
      </c>
      <c r="E281" s="12">
        <v>82.7</v>
      </c>
      <c r="F281" s="12">
        <f t="shared" si="8"/>
        <v>76.82</v>
      </c>
      <c r="G281" s="14"/>
    </row>
    <row r="282" ht="40.05" customHeight="1" spans="1:7">
      <c r="A282" s="9" t="s">
        <v>105</v>
      </c>
      <c r="B282" s="10" t="s">
        <v>26</v>
      </c>
      <c r="C282" s="11" t="str">
        <f>"20190119430"</f>
        <v>20190119430</v>
      </c>
      <c r="D282" s="12">
        <v>69.5</v>
      </c>
      <c r="E282" s="12">
        <v>77.14</v>
      </c>
      <c r="F282" s="12">
        <f t="shared" si="8"/>
        <v>74.084</v>
      </c>
      <c r="G282" s="14"/>
    </row>
    <row r="283" ht="40.05" customHeight="1" spans="1:7">
      <c r="A283" s="9" t="s">
        <v>105</v>
      </c>
      <c r="B283" s="10" t="s">
        <v>106</v>
      </c>
      <c r="C283" s="11" t="str">
        <f>"20190119621"</f>
        <v>20190119621</v>
      </c>
      <c r="D283" s="12">
        <v>74.5</v>
      </c>
      <c r="E283" s="12">
        <v>76.9</v>
      </c>
      <c r="F283" s="12">
        <f t="shared" si="8"/>
        <v>75.94</v>
      </c>
      <c r="G283" s="14" t="s">
        <v>11</v>
      </c>
    </row>
    <row r="284" ht="40.05" customHeight="1" spans="1:7">
      <c r="A284" s="9" t="s">
        <v>105</v>
      </c>
      <c r="B284" s="10" t="s">
        <v>106</v>
      </c>
      <c r="C284" s="11" t="str">
        <f>"20190119705"</f>
        <v>20190119705</v>
      </c>
      <c r="D284" s="12">
        <v>72.5</v>
      </c>
      <c r="E284" s="12">
        <v>73.54</v>
      </c>
      <c r="F284" s="12">
        <f t="shared" si="8"/>
        <v>73.124</v>
      </c>
      <c r="G284" s="14"/>
    </row>
    <row r="285" ht="40.05" customHeight="1" spans="1:7">
      <c r="A285" s="9" t="s">
        <v>105</v>
      </c>
      <c r="B285" s="10" t="s">
        <v>10</v>
      </c>
      <c r="C285" s="11" t="str">
        <f>"20190119815"</f>
        <v>20190119815</v>
      </c>
      <c r="D285" s="12">
        <v>69</v>
      </c>
      <c r="E285" s="12">
        <v>79.66</v>
      </c>
      <c r="F285" s="12">
        <f t="shared" si="8"/>
        <v>75.396</v>
      </c>
      <c r="G285" s="14" t="s">
        <v>11</v>
      </c>
    </row>
    <row r="286" ht="40.05" customHeight="1" spans="1:7">
      <c r="A286" s="9" t="s">
        <v>105</v>
      </c>
      <c r="B286" s="10" t="s">
        <v>10</v>
      </c>
      <c r="C286" s="11" t="str">
        <f>"20190119820"</f>
        <v>20190119820</v>
      </c>
      <c r="D286" s="12">
        <v>68.5</v>
      </c>
      <c r="E286" s="12">
        <v>78.22</v>
      </c>
      <c r="F286" s="12">
        <f t="shared" si="8"/>
        <v>74.332</v>
      </c>
      <c r="G286" s="14"/>
    </row>
    <row r="287" ht="40.05" customHeight="1" spans="1:7">
      <c r="A287" s="9" t="s">
        <v>105</v>
      </c>
      <c r="B287" s="10" t="s">
        <v>10</v>
      </c>
      <c r="C287" s="11" t="str">
        <f>"20190119819"</f>
        <v>20190119819</v>
      </c>
      <c r="D287" s="12">
        <v>69</v>
      </c>
      <c r="E287" s="12">
        <v>72.96</v>
      </c>
      <c r="F287" s="12">
        <f t="shared" si="8"/>
        <v>71.376</v>
      </c>
      <c r="G287" s="14"/>
    </row>
    <row r="288" ht="40.05" customHeight="1" spans="1:7">
      <c r="A288" s="9" t="s">
        <v>105</v>
      </c>
      <c r="B288" s="10" t="s">
        <v>10</v>
      </c>
      <c r="C288" s="11" t="str">
        <f>"20190119828"</f>
        <v>20190119828</v>
      </c>
      <c r="D288" s="12">
        <v>68.5</v>
      </c>
      <c r="E288" s="12">
        <v>72.12</v>
      </c>
      <c r="F288" s="12">
        <f t="shared" si="8"/>
        <v>70.672</v>
      </c>
      <c r="G288" s="14"/>
    </row>
    <row r="289" ht="40.05" customHeight="1" spans="1:7">
      <c r="A289" s="9" t="s">
        <v>105</v>
      </c>
      <c r="B289" s="10" t="s">
        <v>40</v>
      </c>
      <c r="C289" s="11" t="str">
        <f>"20190120019"</f>
        <v>20190120019</v>
      </c>
      <c r="D289" s="12">
        <v>70</v>
      </c>
      <c r="E289" s="12">
        <v>84.3</v>
      </c>
      <c r="F289" s="12">
        <f t="shared" si="8"/>
        <v>78.58</v>
      </c>
      <c r="G289" s="14" t="s">
        <v>11</v>
      </c>
    </row>
    <row r="290" ht="40.05" customHeight="1" spans="1:7">
      <c r="A290" s="9" t="s">
        <v>105</v>
      </c>
      <c r="B290" s="10" t="s">
        <v>40</v>
      </c>
      <c r="C290" s="11" t="str">
        <f>"20190120011"</f>
        <v>20190120011</v>
      </c>
      <c r="D290" s="12">
        <v>70.5</v>
      </c>
      <c r="E290" s="12">
        <v>78.8</v>
      </c>
      <c r="F290" s="12">
        <f t="shared" si="8"/>
        <v>75.48</v>
      </c>
      <c r="G290" s="14"/>
    </row>
    <row r="291" ht="40.05" customHeight="1" spans="1:7">
      <c r="A291" s="9" t="s">
        <v>105</v>
      </c>
      <c r="B291" s="10" t="s">
        <v>40</v>
      </c>
      <c r="C291" s="11" t="str">
        <f>"20190120013"</f>
        <v>20190120013</v>
      </c>
      <c r="D291" s="12">
        <v>71</v>
      </c>
      <c r="E291" s="12">
        <v>76.06</v>
      </c>
      <c r="F291" s="12">
        <f t="shared" si="8"/>
        <v>74.036</v>
      </c>
      <c r="G291" s="14"/>
    </row>
    <row r="292" ht="40.05" customHeight="1" spans="1:7">
      <c r="A292" s="9" t="s">
        <v>107</v>
      </c>
      <c r="B292" s="10" t="s">
        <v>108</v>
      </c>
      <c r="C292" s="11" t="str">
        <f>"20190120506"</f>
        <v>20190120506</v>
      </c>
      <c r="D292" s="12">
        <v>73.5</v>
      </c>
      <c r="E292" s="12">
        <v>84.12</v>
      </c>
      <c r="F292" s="12">
        <f t="shared" si="8"/>
        <v>79.872</v>
      </c>
      <c r="G292" s="14" t="s">
        <v>11</v>
      </c>
    </row>
    <row r="293" ht="40.05" customHeight="1" spans="1:7">
      <c r="A293" s="9" t="s">
        <v>107</v>
      </c>
      <c r="B293" s="10" t="s">
        <v>108</v>
      </c>
      <c r="C293" s="11" t="str">
        <f>"20190120220"</f>
        <v>20190120220</v>
      </c>
      <c r="D293" s="12">
        <v>77</v>
      </c>
      <c r="E293" s="12">
        <v>80.38</v>
      </c>
      <c r="F293" s="12">
        <f t="shared" si="8"/>
        <v>79.028</v>
      </c>
      <c r="G293" s="14"/>
    </row>
    <row r="294" ht="40.05" customHeight="1" spans="1:7">
      <c r="A294" s="9" t="s">
        <v>107</v>
      </c>
      <c r="B294" s="10" t="s">
        <v>109</v>
      </c>
      <c r="C294" s="11" t="str">
        <f>"20190120730"</f>
        <v>20190120730</v>
      </c>
      <c r="D294" s="12">
        <v>65.5</v>
      </c>
      <c r="E294" s="12">
        <v>81.34</v>
      </c>
      <c r="F294" s="12">
        <f t="shared" si="8"/>
        <v>75.004</v>
      </c>
      <c r="G294" s="14" t="s">
        <v>11</v>
      </c>
    </row>
    <row r="295" ht="40.05" customHeight="1" spans="1:7">
      <c r="A295" s="9" t="s">
        <v>107</v>
      </c>
      <c r="B295" s="10" t="s">
        <v>109</v>
      </c>
      <c r="C295" s="11" t="str">
        <f>"20190120801"</f>
        <v>20190120801</v>
      </c>
      <c r="D295" s="12">
        <v>64</v>
      </c>
      <c r="E295" s="12">
        <v>82.06</v>
      </c>
      <c r="F295" s="12">
        <f t="shared" si="8"/>
        <v>74.836</v>
      </c>
      <c r="G295" s="14"/>
    </row>
    <row r="296" ht="40.05" customHeight="1" spans="1:7">
      <c r="A296" s="15" t="s">
        <v>110</v>
      </c>
      <c r="B296" s="15" t="s">
        <v>111</v>
      </c>
      <c r="C296" s="16" t="str">
        <f>"20190109717"</f>
        <v>20190109717</v>
      </c>
      <c r="D296" s="12">
        <v>69.5</v>
      </c>
      <c r="E296" s="12">
        <v>75.28</v>
      </c>
      <c r="F296" s="12">
        <f t="shared" ref="F296:F314" si="9">D296*0.4+E296*0.6</f>
        <v>72.968</v>
      </c>
      <c r="G296" s="14" t="s">
        <v>11</v>
      </c>
    </row>
    <row r="297" ht="40.05" customHeight="1" spans="1:7">
      <c r="A297" s="15" t="s">
        <v>110</v>
      </c>
      <c r="B297" s="15" t="s">
        <v>111</v>
      </c>
      <c r="C297" s="16" t="str">
        <f>"20190109703"</f>
        <v>20190109703</v>
      </c>
      <c r="D297" s="12">
        <v>69.5</v>
      </c>
      <c r="E297" s="12">
        <v>74.6</v>
      </c>
      <c r="F297" s="12">
        <f t="shared" si="9"/>
        <v>72.56</v>
      </c>
      <c r="G297" s="14"/>
    </row>
    <row r="298" ht="40.05" customHeight="1" spans="1:7">
      <c r="A298" s="15" t="s">
        <v>110</v>
      </c>
      <c r="B298" s="15" t="s">
        <v>111</v>
      </c>
      <c r="C298" s="16" t="str">
        <f>"20190109813"</f>
        <v>20190109813</v>
      </c>
      <c r="D298" s="12">
        <v>70</v>
      </c>
      <c r="E298" s="12">
        <v>72.3</v>
      </c>
      <c r="F298" s="12">
        <f t="shared" si="9"/>
        <v>71.38</v>
      </c>
      <c r="G298" s="14"/>
    </row>
    <row r="299" ht="40.05" customHeight="1" spans="1:7">
      <c r="A299" s="15" t="s">
        <v>110</v>
      </c>
      <c r="B299" s="15" t="s">
        <v>111</v>
      </c>
      <c r="C299" s="16" t="str">
        <f>"20190109730"</f>
        <v>20190109730</v>
      </c>
      <c r="D299" s="12">
        <v>69.5</v>
      </c>
      <c r="E299" s="12">
        <v>69.22</v>
      </c>
      <c r="F299" s="12">
        <f t="shared" si="9"/>
        <v>69.332</v>
      </c>
      <c r="G299" s="14"/>
    </row>
    <row r="300" ht="40.05" customHeight="1" spans="1:7">
      <c r="A300" s="15" t="s">
        <v>110</v>
      </c>
      <c r="B300" s="15" t="s">
        <v>26</v>
      </c>
      <c r="C300" s="16" t="str">
        <f>"20190109916"</f>
        <v>20190109916</v>
      </c>
      <c r="D300" s="12">
        <v>75.5</v>
      </c>
      <c r="E300" s="12">
        <v>77.48</v>
      </c>
      <c r="F300" s="12">
        <f t="shared" si="9"/>
        <v>76.688</v>
      </c>
      <c r="G300" s="14" t="s">
        <v>11</v>
      </c>
    </row>
    <row r="301" ht="40.05" customHeight="1" spans="1:7">
      <c r="A301" s="15" t="s">
        <v>110</v>
      </c>
      <c r="B301" s="15" t="s">
        <v>26</v>
      </c>
      <c r="C301" s="16" t="str">
        <f>"20190110007"</f>
        <v>20190110007</v>
      </c>
      <c r="D301" s="12">
        <v>72.5</v>
      </c>
      <c r="E301" s="12">
        <v>78.78</v>
      </c>
      <c r="F301" s="12">
        <f t="shared" si="9"/>
        <v>76.268</v>
      </c>
      <c r="G301" s="14"/>
    </row>
    <row r="302" ht="40.05" customHeight="1" spans="1:7">
      <c r="A302" s="15" t="s">
        <v>110</v>
      </c>
      <c r="B302" s="15" t="s">
        <v>26</v>
      </c>
      <c r="C302" s="16" t="str">
        <f>"20190109906"</f>
        <v>20190109906</v>
      </c>
      <c r="D302" s="12">
        <v>72.5</v>
      </c>
      <c r="E302" s="12">
        <v>75.02</v>
      </c>
      <c r="F302" s="12">
        <f t="shared" si="9"/>
        <v>74.012</v>
      </c>
      <c r="G302" s="14"/>
    </row>
    <row r="303" ht="40.05" customHeight="1" spans="1:7">
      <c r="A303" s="15" t="s">
        <v>110</v>
      </c>
      <c r="B303" s="15" t="s">
        <v>26</v>
      </c>
      <c r="C303" s="16" t="str">
        <f>"20190110002"</f>
        <v>20190110002</v>
      </c>
      <c r="D303" s="12">
        <v>75</v>
      </c>
      <c r="E303" s="12">
        <v>73.22</v>
      </c>
      <c r="F303" s="12">
        <f t="shared" si="9"/>
        <v>73.932</v>
      </c>
      <c r="G303" s="14"/>
    </row>
    <row r="304" ht="40.05" customHeight="1" spans="1:7">
      <c r="A304" s="15" t="s">
        <v>110</v>
      </c>
      <c r="B304" s="15" t="s">
        <v>26</v>
      </c>
      <c r="C304" s="16" t="str">
        <f>"20190110221"</f>
        <v>20190110221</v>
      </c>
      <c r="D304" s="12">
        <v>72.5</v>
      </c>
      <c r="E304" s="12">
        <v>73.96</v>
      </c>
      <c r="F304" s="12">
        <f t="shared" si="9"/>
        <v>73.376</v>
      </c>
      <c r="G304" s="14"/>
    </row>
    <row r="305" ht="40.05" customHeight="1" spans="1:7">
      <c r="A305" s="15" t="s">
        <v>110</v>
      </c>
      <c r="B305" s="15" t="s">
        <v>10</v>
      </c>
      <c r="C305" s="16" t="str">
        <f>"20190110428"</f>
        <v>20190110428</v>
      </c>
      <c r="D305" s="12">
        <v>76</v>
      </c>
      <c r="E305" s="12">
        <v>78.8</v>
      </c>
      <c r="F305" s="12">
        <f t="shared" si="9"/>
        <v>77.68</v>
      </c>
      <c r="G305" s="14" t="s">
        <v>11</v>
      </c>
    </row>
    <row r="306" ht="40.05" customHeight="1" spans="1:7">
      <c r="A306" s="15" t="s">
        <v>110</v>
      </c>
      <c r="B306" s="15" t="s">
        <v>10</v>
      </c>
      <c r="C306" s="16" t="str">
        <f>"20190110426"</f>
        <v>20190110426</v>
      </c>
      <c r="D306" s="12">
        <v>68.5</v>
      </c>
      <c r="E306" s="12">
        <v>79.08</v>
      </c>
      <c r="F306" s="12">
        <f t="shared" si="9"/>
        <v>74.848</v>
      </c>
      <c r="G306" s="14"/>
    </row>
    <row r="307" ht="40.05" customHeight="1" spans="1:7">
      <c r="A307" s="15" t="s">
        <v>110</v>
      </c>
      <c r="B307" s="15" t="s">
        <v>10</v>
      </c>
      <c r="C307" s="16" t="str">
        <f>"20190110419"</f>
        <v>20190110419</v>
      </c>
      <c r="D307" s="12">
        <v>71</v>
      </c>
      <c r="E307" s="12">
        <v>73.78</v>
      </c>
      <c r="F307" s="12">
        <f t="shared" si="9"/>
        <v>72.668</v>
      </c>
      <c r="G307" s="14"/>
    </row>
    <row r="308" ht="40.05" customHeight="1" spans="1:7">
      <c r="A308" s="9" t="s">
        <v>112</v>
      </c>
      <c r="B308" s="10" t="s">
        <v>113</v>
      </c>
      <c r="C308" s="11" t="str">
        <f>"20190120811"</f>
        <v>20190120811</v>
      </c>
      <c r="D308" s="12">
        <v>65.5</v>
      </c>
      <c r="E308" s="12">
        <v>86.66</v>
      </c>
      <c r="F308" s="12">
        <f t="shared" si="9"/>
        <v>78.196</v>
      </c>
      <c r="G308" s="14" t="s">
        <v>11</v>
      </c>
    </row>
    <row r="309" ht="40.05" customHeight="1" spans="1:7">
      <c r="A309" s="9" t="s">
        <v>112</v>
      </c>
      <c r="B309" s="10" t="s">
        <v>113</v>
      </c>
      <c r="C309" s="11" t="str">
        <f>"20190120806"</f>
        <v>20190120806</v>
      </c>
      <c r="D309" s="12">
        <v>69</v>
      </c>
      <c r="E309" s="12">
        <v>84.06</v>
      </c>
      <c r="F309" s="12">
        <f t="shared" si="9"/>
        <v>78.036</v>
      </c>
      <c r="G309" s="14"/>
    </row>
    <row r="310" ht="40.05" customHeight="1" spans="1:7">
      <c r="A310" s="9" t="s">
        <v>112</v>
      </c>
      <c r="B310" s="10" t="s">
        <v>113</v>
      </c>
      <c r="C310" s="11" t="str">
        <f>"20190120805"</f>
        <v>20190120805</v>
      </c>
      <c r="D310" s="12">
        <v>67.5</v>
      </c>
      <c r="E310" s="12">
        <v>78.58</v>
      </c>
      <c r="F310" s="12">
        <f t="shared" si="9"/>
        <v>74.148</v>
      </c>
      <c r="G310" s="14"/>
    </row>
    <row r="311" ht="40.05" customHeight="1" spans="1:7">
      <c r="A311" s="9" t="s">
        <v>112</v>
      </c>
      <c r="B311" s="10" t="s">
        <v>114</v>
      </c>
      <c r="C311" s="11" t="str">
        <f>"20190120813"</f>
        <v>20190120813</v>
      </c>
      <c r="D311" s="12">
        <v>66</v>
      </c>
      <c r="E311" s="12">
        <v>83.86</v>
      </c>
      <c r="F311" s="12">
        <f t="shared" si="9"/>
        <v>76.716</v>
      </c>
      <c r="G311" s="14" t="s">
        <v>11</v>
      </c>
    </row>
    <row r="312" ht="40.05" customHeight="1" spans="1:7">
      <c r="A312" s="9" t="s">
        <v>112</v>
      </c>
      <c r="B312" s="10" t="s">
        <v>114</v>
      </c>
      <c r="C312" s="11" t="str">
        <f>"20190120814"</f>
        <v>20190120814</v>
      </c>
      <c r="D312" s="12">
        <v>69.5</v>
      </c>
      <c r="E312" s="12">
        <v>78.82</v>
      </c>
      <c r="F312" s="12">
        <f t="shared" si="9"/>
        <v>75.092</v>
      </c>
      <c r="G312" s="14"/>
    </row>
    <row r="313" ht="40.05" customHeight="1" spans="1:7">
      <c r="A313" s="9" t="s">
        <v>112</v>
      </c>
      <c r="B313" s="10" t="s">
        <v>114</v>
      </c>
      <c r="C313" s="11" t="str">
        <f>"20190120817"</f>
        <v>20190120817</v>
      </c>
      <c r="D313" s="12">
        <v>71</v>
      </c>
      <c r="E313" s="12">
        <v>77.78</v>
      </c>
      <c r="F313" s="12">
        <f t="shared" si="9"/>
        <v>75.068</v>
      </c>
      <c r="G313" s="14"/>
    </row>
    <row r="314" ht="40.05" customHeight="1" spans="1:7">
      <c r="A314" s="9" t="s">
        <v>112</v>
      </c>
      <c r="B314" s="10" t="s">
        <v>114</v>
      </c>
      <c r="C314" s="11" t="str">
        <f>"20190120826"</f>
        <v>20190120826</v>
      </c>
      <c r="D314" s="12">
        <v>66</v>
      </c>
      <c r="E314" s="12">
        <v>77.52</v>
      </c>
      <c r="F314" s="12">
        <f t="shared" si="9"/>
        <v>72.912</v>
      </c>
      <c r="G314" s="14"/>
    </row>
  </sheetData>
  <autoFilter ref="A1:G314">
    <extLst/>
  </autoFilter>
  <sortState ref="A2:I319">
    <sortCondition ref="A2:A319"/>
    <sortCondition ref="B2:B319"/>
    <sortCondition ref="F2:F319" descending="1"/>
  </sortState>
  <mergeCells count="1">
    <mergeCell ref="A2:G2"/>
  </mergeCells>
  <printOptions horizontalCentered="1"/>
  <pageMargins left="0.708661417322835" right="0.708661417322835" top="0.984251968503937" bottom="0.984251968503937" header="0.31496062992126" footer="0.31496062992126"/>
  <pageSetup paperSize="9" orientation="landscape"/>
  <headerFooter>
    <oddFooter>&amp;C第 &amp;P 页，共 &amp;N 页</oddFooter>
  </headerFooter>
  <rowBreaks count="2" manualBreakCount="2">
    <brk id="109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lws</dc:creator>
  <cp:lastModifiedBy>神哭小斧</cp:lastModifiedBy>
  <dcterms:created xsi:type="dcterms:W3CDTF">2019-10-14T06:19:00Z</dcterms:created>
  <cp:lastPrinted>2019-11-09T11:28:00Z</cp:lastPrinted>
  <dcterms:modified xsi:type="dcterms:W3CDTF">2019-11-11T05:38:43Z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